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9020" windowHeight="11385" activeTab="0"/>
  </bookViews>
  <sheets>
    <sheet name="Charter Institute" sheetId="1" r:id="rId1"/>
  </sheets>
  <externalReferences>
    <externalReference r:id="rId4"/>
  </externalReferences>
  <definedNames>
    <definedName name="_Order1" hidden="1">255</definedName>
    <definedName name="MILL">#REF!</definedName>
    <definedName name="SUMMARY">'[1]district disk'!#REF!</definedName>
  </definedNames>
  <calcPr fullCalcOnLoad="1"/>
</workbook>
</file>

<file path=xl/sharedStrings.xml><?xml version="1.0" encoding="utf-8"?>
<sst xmlns="http://schemas.openxmlformats.org/spreadsheetml/2006/main" count="754" uniqueCount="72">
  <si>
    <t>CHARTER SCHOOL INSTITUTE FUNDING</t>
  </si>
  <si>
    <t>FY 2010-11</t>
  </si>
  <si>
    <t>Withholding from District Within Whose Boundaries Institute Charter Resides</t>
  </si>
  <si>
    <t>Adams - Adams 12 Five Star</t>
  </si>
  <si>
    <t>Adams - Brighton 27J</t>
  </si>
  <si>
    <t>Westminster</t>
  </si>
  <si>
    <t>Eagle - Eagle</t>
  </si>
  <si>
    <t xml:space="preserve">El Paso - Colorado Springs 11 </t>
  </si>
  <si>
    <t xml:space="preserve"> </t>
  </si>
  <si>
    <t>Garfield - Roaring Fork</t>
  </si>
  <si>
    <t>LaPlata - Durango</t>
  </si>
  <si>
    <t>Larimer - Poudre</t>
  </si>
  <si>
    <t>Mesa</t>
  </si>
  <si>
    <t>Total Funding Charter School Institute</t>
  </si>
  <si>
    <t>Projected Funding July 2010 - November 2010</t>
  </si>
  <si>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</si>
  <si>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</si>
  <si>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</si>
  <si>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</si>
  <si>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</si>
  <si>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</si>
  <si>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</si>
  <si>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</si>
  <si>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</si>
  <si>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</si>
  <si>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Brighton</t>
  </si>
  <si>
    <t xml:space="preserve">Academy at High Point </t>
  </si>
  <si>
    <t>Early College of Arvada</t>
  </si>
  <si>
    <t>GOAL Online Academy</t>
  </si>
  <si>
    <t>Ricardo Flores Magnon Academy</t>
  </si>
  <si>
    <t>Eagle</t>
  </si>
  <si>
    <t xml:space="preserve">Stone Creek Elementary </t>
  </si>
  <si>
    <t>Colo Springs</t>
  </si>
  <si>
    <t>Pikes Peak Prep (21st Century)</t>
  </si>
  <si>
    <t>Scholars to Leaders Academy</t>
  </si>
  <si>
    <t>Maclaren Charter School</t>
  </si>
  <si>
    <t>Colorado Springs Charter Academy</t>
  </si>
  <si>
    <t>Colorado Springs Early Colleges</t>
  </si>
  <si>
    <t>Vanguard Academy</t>
  </si>
  <si>
    <t>Roaring Fork</t>
  </si>
  <si>
    <t xml:space="preserve">Ross Montessori </t>
  </si>
  <si>
    <t>Durango</t>
  </si>
  <si>
    <t>Animas Charter School</t>
  </si>
  <si>
    <t>Poudre</t>
  </si>
  <si>
    <t xml:space="preserve">T.R. Paul Academy of Arts &amp; Knowledge </t>
  </si>
  <si>
    <t>Calvert Online</t>
  </si>
  <si>
    <t>Provost Online</t>
  </si>
  <si>
    <t>Mesa 51</t>
  </si>
  <si>
    <t>Caprock Academy</t>
  </si>
  <si>
    <t>Withholding for Charter Intercept Agreements</t>
  </si>
  <si>
    <t>AUGUST 2010 PAYMENT</t>
  </si>
  <si>
    <t>Amount to be Distributed to  Charter School Institute (CSI)</t>
  </si>
  <si>
    <t>SEPTEMBER 2010 PAYMENT</t>
  </si>
  <si>
    <t>Withholding for Assistance Fund @ 1%</t>
  </si>
  <si>
    <t>OCTOBER 2010 PAYMENT</t>
  </si>
  <si>
    <t>NOVEMBER 2010 PAYMENT</t>
  </si>
  <si>
    <t>DECEMBER 2010 PAYMENT</t>
  </si>
  <si>
    <t>DECEMBER 2010 FUNDING CALCULATION</t>
  </si>
  <si>
    <t>Adjustment for Alternate At-Risk Funding</t>
  </si>
  <si>
    <t>JANUARY 2011 PAYMENT</t>
  </si>
  <si>
    <t>FEBRUARY 2011 PAYMENT RECALCULATED FOR AT-RISK</t>
  </si>
  <si>
    <t>MARCH 2011 PAYMENT RECALCULATED FOR ARRA &amp; ED JOBS</t>
  </si>
  <si>
    <t>State Revenues</t>
  </si>
  <si>
    <t>Federal Revenues</t>
  </si>
  <si>
    <t>Remaining State Share Pinnacle</t>
  </si>
  <si>
    <t xml:space="preserve">Sent to CSI for March </t>
  </si>
  <si>
    <t xml:space="preserve">APRIL 2011 PAYMENT </t>
  </si>
  <si>
    <t xml:space="preserve">MAY 2011 PAYMENT </t>
  </si>
  <si>
    <t>JUNE 2011 PAYMENT CALCULATION</t>
  </si>
  <si>
    <t>YTD</t>
  </si>
  <si>
    <t xml:space="preserve"> JUNE 2011 PAYMENT</t>
  </si>
  <si>
    <t>Rescission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</si>
</sst>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"/>
    <numFmt numFmtId="166" formatCode="#,##0.0000_);[Red]\(#,##0.0000\)"/>
    <numFmt numFmtId="167" formatCode="#,##0.00000_);[Red]\(#,##0.00000\)"/>
    <numFmt numFmtId="168" formatCode="#,##0.000000_);[Red]\(#,##0.000000\)"/>
    <numFmt numFmtId="169" formatCode="#,##0.0000000_);[Red]\(#,##0.0000000\)"/>
    <numFmt numFmtId="170" formatCode="#,##0.00000000_);[Red]\(#,##0.00000000\)"/>
    <numFmt numFmtId="171" formatCode="#,##0.000000000_);[Red]\(#,##0.000000000\)"/>
    <numFmt numFmtId="172" formatCode="#,##0.0000000000_);[Red]\(#,##0.0000000000\)"/>
    <numFmt numFmtId="173" formatCode="#,##0.00000000000_);[Red]\(#,##0.00000000000\)"/>
  </numFmts>
  <fonts count="39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4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40" fontId="0" fillId="0" borderId="0" xfId="0" applyAlignment="1">
      <alignment/>
    </xf>
    <xf numFmtId="40" fontId="2" fillId="0" borderId="0" xfId="0" applyFont="1" applyAlignment="1">
      <alignment/>
    </xf>
    <xf numFmtId="40" fontId="2" fillId="0" borderId="0" xfId="0" applyFont="1" applyAlignment="1">
      <alignment horizontal="center"/>
    </xf>
    <xf numFmtId="4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0" fontId="2" fillId="0" borderId="10" xfId="0" applyFont="1" applyBorder="1" applyAlignment="1">
      <alignment/>
    </xf>
    <xf numFmtId="40" fontId="2" fillId="0" borderId="0" xfId="0" applyFont="1" applyBorder="1" applyAlignment="1">
      <alignment/>
    </xf>
    <xf numFmtId="40" fontId="2" fillId="0" borderId="0" xfId="0" applyFont="1" applyFill="1" applyBorder="1" applyAlignment="1">
      <alignment horizontal="center" wrapText="1"/>
    </xf>
    <xf numFmtId="40" fontId="2" fillId="0" borderId="0" xfId="0" applyFont="1" applyFill="1" applyBorder="1" applyAlignment="1">
      <alignment/>
    </xf>
    <xf numFmtId="40" fontId="2" fillId="0" borderId="0" xfId="0" applyFont="1" applyFill="1" applyBorder="1" applyAlignment="1">
      <alignment horizontal="right" wrapText="1"/>
    </xf>
    <xf numFmtId="40" fontId="2" fillId="0" borderId="0" xfId="0" applyFont="1" applyFill="1" applyBorder="1" applyAlignment="1">
      <alignment wrapText="1"/>
    </xf>
    <xf numFmtId="40" fontId="2" fillId="33" borderId="0" xfId="0" applyFont="1" applyFill="1" applyBorder="1" applyAlignment="1">
      <alignment/>
    </xf>
    <xf numFmtId="40" fontId="2" fillId="33" borderId="0" xfId="56" applyFont="1" applyFill="1" applyBorder="1" applyAlignment="1">
      <alignment horizontal="center" wrapText="1"/>
      <protection/>
    </xf>
    <xf numFmtId="40" fontId="2" fillId="0" borderId="0" xfId="56" applyFont="1" applyFill="1" applyBorder="1" applyAlignment="1">
      <alignment horizontal="center" wrapText="1"/>
      <protection/>
    </xf>
    <xf numFmtId="40" fontId="2" fillId="0" borderId="0" xfId="56" applyFont="1" applyFill="1" applyBorder="1" applyAlignment="1">
      <alignment wrapText="1"/>
      <protection/>
    </xf>
    <xf numFmtId="40" fontId="2" fillId="0" borderId="0" xfId="56" applyFont="1" applyFill="1">
      <alignment/>
      <protection/>
    </xf>
    <xf numFmtId="40" fontId="2" fillId="0" borderId="0" xfId="56" applyFont="1">
      <alignment/>
      <protection/>
    </xf>
    <xf numFmtId="165" fontId="2" fillId="0" borderId="0" xfId="56" applyNumberFormat="1" applyFont="1" applyBorder="1" applyAlignment="1">
      <alignment horizontal="right" wrapText="1"/>
      <protection/>
    </xf>
    <xf numFmtId="40" fontId="2" fillId="0" borderId="0" xfId="56" applyNumberFormat="1" applyFont="1" applyProtection="1">
      <alignment/>
      <protection/>
    </xf>
    <xf numFmtId="40" fontId="2" fillId="0" borderId="0" xfId="56" applyNumberFormat="1" applyFont="1" applyFill="1">
      <alignment/>
      <protection/>
    </xf>
    <xf numFmtId="40" fontId="2" fillId="0" borderId="0" xfId="56" applyFont="1" applyBorder="1" applyAlignment="1">
      <alignment wrapText="1"/>
      <protection/>
    </xf>
    <xf numFmtId="40" fontId="2" fillId="0" borderId="0" xfId="56" applyNumberFormat="1" applyFont="1" applyFill="1" applyBorder="1" applyAlignment="1">
      <alignment wrapText="1"/>
      <protection/>
    </xf>
    <xf numFmtId="165" fontId="2" fillId="0" borderId="0" xfId="56" applyNumberFormat="1" applyFont="1" applyBorder="1" applyAlignment="1">
      <alignment horizontal="right"/>
      <protection/>
    </xf>
    <xf numFmtId="4" fontId="2" fillId="0" borderId="0" xfId="56" applyNumberFormat="1" applyFont="1" applyBorder="1">
      <alignment/>
      <protection/>
    </xf>
    <xf numFmtId="40" fontId="2" fillId="0" borderId="0" xfId="56" applyFont="1" applyAlignment="1">
      <alignment wrapText="1"/>
      <protection/>
    </xf>
    <xf numFmtId="165" fontId="2" fillId="0" borderId="0" xfId="56" applyNumberFormat="1" applyFont="1" applyAlignment="1">
      <alignment horizontal="right"/>
      <protection/>
    </xf>
    <xf numFmtId="4" fontId="2" fillId="0" borderId="0" xfId="56" applyNumberFormat="1" applyFont="1">
      <alignment/>
      <protection/>
    </xf>
    <xf numFmtId="0" fontId="2" fillId="0" borderId="0" xfId="56" applyNumberFormat="1" applyFont="1">
      <alignment/>
      <protection/>
    </xf>
    <xf numFmtId="165" fontId="2" fillId="0" borderId="0" xfId="56" applyNumberFormat="1" applyFont="1" applyAlignment="1">
      <alignment horizontal="right" wrapText="1"/>
      <protection/>
    </xf>
    <xf numFmtId="40" fontId="2" fillId="0" borderId="0" xfId="0" applyNumberFormat="1" applyFont="1" applyFill="1" applyAlignment="1">
      <alignment/>
    </xf>
    <xf numFmtId="165" fontId="2" fillId="0" borderId="0" xfId="56" applyNumberFormat="1" applyFont="1" applyFill="1">
      <alignment/>
      <protection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40" fontId="3" fillId="33" borderId="0" xfId="0" applyFont="1" applyFill="1" applyAlignment="1" quotePrefix="1">
      <alignment/>
    </xf>
    <xf numFmtId="4" fontId="2" fillId="0" borderId="0" xfId="56" applyNumberFormat="1" applyFont="1" applyAlignment="1">
      <alignment horizontal="right"/>
      <protection/>
    </xf>
    <xf numFmtId="4" fontId="2" fillId="0" borderId="0" xfId="56" applyNumberFormat="1" applyFont="1" applyProtection="1">
      <alignment/>
      <protection/>
    </xf>
    <xf numFmtId="40" fontId="4" fillId="33" borderId="0" xfId="0" applyFont="1" applyFill="1" applyAlignment="1">
      <alignment/>
    </xf>
    <xf numFmtId="40" fontId="5" fillId="33" borderId="0" xfId="0" applyFont="1" applyFill="1" applyBorder="1" applyAlignment="1">
      <alignment/>
    </xf>
    <xf numFmtId="40" fontId="5" fillId="33" borderId="0" xfId="56" applyFont="1" applyFill="1" applyBorder="1" applyAlignment="1">
      <alignment horizontal="center" wrapText="1"/>
      <protection/>
    </xf>
    <xf numFmtId="40" fontId="5" fillId="0" borderId="0" xfId="0" applyFont="1" applyFill="1" applyBorder="1" applyAlignment="1">
      <alignment/>
    </xf>
    <xf numFmtId="40" fontId="5" fillId="0" borderId="0" xfId="56" applyFont="1" applyFill="1" applyBorder="1" applyAlignment="1">
      <alignment horizontal="center" wrapText="1"/>
      <protection/>
    </xf>
    <xf numFmtId="40" fontId="5" fillId="0" borderId="0" xfId="56" applyFont="1" applyFill="1" applyBorder="1" applyAlignment="1">
      <alignment wrapText="1"/>
      <protection/>
    </xf>
    <xf numFmtId="40" fontId="5" fillId="0" borderId="0" xfId="56" applyFont="1" applyFill="1">
      <alignment/>
      <protection/>
    </xf>
    <xf numFmtId="40" fontId="5" fillId="0" borderId="0" xfId="56" applyFont="1">
      <alignment/>
      <protection/>
    </xf>
    <xf numFmtId="165" fontId="5" fillId="0" borderId="0" xfId="0" applyNumberFormat="1" applyFont="1" applyAlignment="1">
      <alignment/>
    </xf>
    <xf numFmtId="165" fontId="5" fillId="0" borderId="0" xfId="56" applyNumberFormat="1" applyFont="1" applyBorder="1" applyAlignment="1">
      <alignment horizontal="right" wrapText="1"/>
      <protection/>
    </xf>
    <xf numFmtId="4" fontId="5" fillId="0" borderId="0" xfId="56" applyNumberFormat="1" applyFont="1" applyProtection="1">
      <alignment/>
      <protection/>
    </xf>
    <xf numFmtId="40" fontId="5" fillId="0" borderId="0" xfId="56" applyNumberFormat="1" applyFont="1" applyFill="1">
      <alignment/>
      <protection/>
    </xf>
    <xf numFmtId="40" fontId="5" fillId="0" borderId="0" xfId="56" applyFont="1" applyBorder="1" applyAlignment="1">
      <alignment wrapText="1"/>
      <protection/>
    </xf>
    <xf numFmtId="4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Border="1" applyAlignment="1">
      <alignment horizontal="right"/>
      <protection/>
    </xf>
    <xf numFmtId="4" fontId="5" fillId="0" borderId="0" xfId="56" applyNumberFormat="1" applyFont="1" applyBorder="1">
      <alignment/>
      <protection/>
    </xf>
    <xf numFmtId="40" fontId="5" fillId="0" borderId="0" xfId="0" applyFont="1" applyFill="1" applyBorder="1" applyAlignment="1">
      <alignment wrapText="1"/>
    </xf>
    <xf numFmtId="40" fontId="5" fillId="0" borderId="0" xfId="0" applyFont="1" applyFill="1" applyBorder="1" applyAlignment="1">
      <alignment horizontal="center" wrapText="1"/>
    </xf>
    <xf numFmtId="40" fontId="5" fillId="0" borderId="0" xfId="56" applyFont="1" applyAlignment="1">
      <alignment wrapText="1"/>
      <protection/>
    </xf>
    <xf numFmtId="165" fontId="5" fillId="0" borderId="0" xfId="56" applyNumberFormat="1" applyFont="1" applyAlignment="1">
      <alignment horizontal="right"/>
      <protection/>
    </xf>
    <xf numFmtId="4" fontId="5" fillId="0" borderId="0" xfId="56" applyNumberFormat="1" applyFont="1">
      <alignment/>
      <protection/>
    </xf>
    <xf numFmtId="0" fontId="5" fillId="0" borderId="0" xfId="56" applyNumberFormat="1" applyFont="1">
      <alignment/>
      <protection/>
    </xf>
    <xf numFmtId="165" fontId="5" fillId="0" borderId="0" xfId="56" applyNumberFormat="1" applyFont="1" applyAlignment="1">
      <alignment horizontal="right" wrapText="1"/>
      <protection/>
    </xf>
    <xf numFmtId="40" fontId="5" fillId="0" borderId="0" xfId="0" applyNumberFormat="1" applyFont="1" applyFill="1" applyAlignment="1">
      <alignment/>
    </xf>
    <xf numFmtId="4" fontId="5" fillId="0" borderId="0" xfId="56" applyNumberFormat="1" applyFont="1" applyAlignment="1">
      <alignment horizontal="right"/>
      <protection/>
    </xf>
    <xf numFmtId="165" fontId="5" fillId="0" borderId="0" xfId="0" applyNumberFormat="1" applyFont="1" applyFill="1" applyBorder="1" applyAlignment="1">
      <alignment/>
    </xf>
    <xf numFmtId="40" fontId="5" fillId="0" borderId="0" xfId="0" applyFont="1" applyAlignment="1">
      <alignment/>
    </xf>
    <xf numFmtId="40" fontId="3" fillId="33" borderId="0" xfId="0" applyFont="1" applyFill="1" applyAlignment="1">
      <alignment/>
    </xf>
    <xf numFmtId="40" fontId="2" fillId="33" borderId="0" xfId="0" applyFont="1" applyFill="1" applyAlignment="1">
      <alignment/>
    </xf>
    <xf numFmtId="40" fontId="3" fillId="33" borderId="0" xfId="0" applyFont="1" applyFill="1" applyAlignment="1">
      <alignment horizontal="center" wrapText="1"/>
    </xf>
    <xf numFmtId="172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SFU\PSFARUNS\All11Ju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Charter Institute"/>
      <sheetName val="transpose"/>
      <sheetName val="summary"/>
      <sheetName val="district disk"/>
      <sheetName val="home page"/>
      <sheetName val="mill levy"/>
      <sheetName val="Factor S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03"/>
  <sheetViews>
    <sheetView tabSelected="1" zoomScalePageLayoutView="0" workbookViewId="0" topLeftCell="A368">
      <pane xSplit="1" topLeftCell="J1" activePane="topRight" state="frozen"/>
      <selection pane="topLeft" activeCell="A1" sqref="A1"/>
      <selection pane="topRight" activeCell="A376" sqref="A376"/>
    </sheetView>
  </sheetViews>
  <sheetFormatPr defaultColWidth="8.88671875" defaultRowHeight="15"/>
  <cols>
    <col min="1" max="1" width="29.10546875" style="1" customWidth="1"/>
    <col min="2" max="2" width="25.77734375" style="1" customWidth="1"/>
    <col min="3" max="3" width="10.21484375" style="1" customWidth="1"/>
    <col min="4" max="4" width="13.5546875" style="1" customWidth="1"/>
    <col min="5" max="5" width="13.6640625" style="1" customWidth="1"/>
    <col min="6" max="6" width="14.4453125" style="1" customWidth="1"/>
    <col min="7" max="7" width="15.77734375" style="1" customWidth="1"/>
    <col min="8" max="8" width="13.3359375" style="1" customWidth="1"/>
    <col min="9" max="11" width="13.77734375" style="1" customWidth="1"/>
    <col min="12" max="12" width="12.99609375" style="1" customWidth="1"/>
    <col min="13" max="13" width="13.6640625" style="1" customWidth="1"/>
    <col min="14" max="14" width="12.6640625" style="1" customWidth="1"/>
    <col min="15" max="15" width="13.10546875" style="1" customWidth="1"/>
    <col min="16" max="16" width="11.88671875" style="1" bestFit="1" customWidth="1"/>
    <col min="17" max="17" width="11.88671875" style="1" customWidth="1"/>
    <col min="18" max="18" width="12.4453125" style="1" bestFit="1" customWidth="1"/>
    <col min="19" max="20" width="10.99609375" style="1" bestFit="1" customWidth="1"/>
    <col min="21" max="21" width="10.4453125" style="1" bestFit="1" customWidth="1"/>
    <col min="22" max="16384" width="8.88671875" style="1" customWidth="1"/>
  </cols>
  <sheetData>
    <row r="3" spans="1:2" ht="12.75">
      <c r="A3" s="1" t="s">
        <v>0</v>
      </c>
      <c r="B3" s="2" t="s">
        <v>1</v>
      </c>
    </row>
    <row r="4" ht="12.75">
      <c r="B4" s="2"/>
    </row>
    <row r="5" spans="1:2" ht="12.75">
      <c r="A5" s="1" t="s">
        <v>2</v>
      </c>
      <c r="B5" s="2"/>
    </row>
    <row r="6" spans="1:2" ht="12.75">
      <c r="A6" s="1" t="s">
        <v>3</v>
      </c>
      <c r="B6" s="3">
        <v>-12633167.799999999</v>
      </c>
    </row>
    <row r="7" spans="1:2" ht="12.75">
      <c r="A7" s="1" t="s">
        <v>4</v>
      </c>
      <c r="B7" s="1">
        <v>-2992058.078</v>
      </c>
    </row>
    <row r="8" spans="1:2" ht="12.75">
      <c r="A8" s="1" t="s">
        <v>5</v>
      </c>
      <c r="B8" s="1">
        <v>-10392623.916000001</v>
      </c>
    </row>
    <row r="9" spans="1:2" ht="12.75">
      <c r="A9" s="1" t="s">
        <v>6</v>
      </c>
      <c r="B9" s="1">
        <v>-1414042.5320000001</v>
      </c>
    </row>
    <row r="10" spans="1:4" ht="12.75">
      <c r="A10" s="1" t="s">
        <v>7</v>
      </c>
      <c r="B10" s="1">
        <v>-12344694.134</v>
      </c>
      <c r="D10" s="1" t="s">
        <v>8</v>
      </c>
    </row>
    <row r="11" spans="1:7" ht="12.75">
      <c r="A11" s="1" t="s">
        <v>9</v>
      </c>
      <c r="B11" s="1">
        <v>-1412948.775</v>
      </c>
      <c r="G11" s="4"/>
    </row>
    <row r="12" spans="1:2" ht="12.75">
      <c r="A12" s="1" t="s">
        <v>10</v>
      </c>
      <c r="B12" s="1">
        <v>-1030608.04</v>
      </c>
    </row>
    <row r="13" spans="1:2" ht="12.75">
      <c r="A13" s="1" t="s">
        <v>11</v>
      </c>
      <c r="B13" s="1">
        <v>-6064248.025</v>
      </c>
    </row>
    <row r="14" spans="1:2" ht="12.75">
      <c r="A14" s="1" t="s">
        <v>12</v>
      </c>
      <c r="B14" s="5">
        <v>-2726611.4699999997</v>
      </c>
    </row>
    <row r="15" spans="1:11" s="8" customFormat="1" ht="12.75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</row>
    <row r="16" spans="1:11" s="8" customFormat="1" ht="12.75">
      <c r="A16" s="8" t="s">
        <v>13</v>
      </c>
      <c r="B16" s="9">
        <v>-51011002.769999996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2:11" s="8" customFormat="1" ht="12.75">
      <c r="B17" s="7"/>
      <c r="C17" s="10"/>
      <c r="D17" s="10"/>
      <c r="E17" s="10"/>
      <c r="F17" s="10"/>
      <c r="G17" s="10"/>
      <c r="H17" s="10"/>
      <c r="I17" s="10"/>
      <c r="J17" s="10"/>
      <c r="K17" s="10"/>
    </row>
    <row r="18" s="8" customFormat="1" ht="12.75">
      <c r="B18" s="7"/>
    </row>
    <row r="19" spans="1:13" s="8" customFormat="1" ht="51">
      <c r="A19" s="11" t="s">
        <v>14</v>
      </c>
      <c r="B19" s="11"/>
      <c r="C19" s="11"/>
      <c r="D19" s="12" t="s">
        <v>15</v>
      </c>
      <c r="E19" s="12" t="s">
        <v>16</v>
      </c>
      <c r="F19" s="12" t="s">
        <v>17</v>
      </c>
      <c r="G19" s="12" t="s">
        <v>18</v>
      </c>
      <c r="H19" s="12" t="s">
        <v>19</v>
      </c>
      <c r="I19" s="12" t="s">
        <v>20</v>
      </c>
      <c r="J19" s="12" t="s">
        <v>53</v>
      </c>
      <c r="K19" s="12" t="s">
        <v>21</v>
      </c>
      <c r="L19" s="12" t="s">
        <v>49</v>
      </c>
      <c r="M19" s="12" t="s">
        <v>22</v>
      </c>
    </row>
    <row r="20" spans="4:13" s="8" customFormat="1" ht="12.75">
      <c r="D20" s="13"/>
      <c r="E20" s="13"/>
      <c r="F20" s="14"/>
      <c r="G20" s="14"/>
      <c r="H20" s="14"/>
      <c r="I20" s="14"/>
      <c r="J20" s="14"/>
      <c r="K20" s="14"/>
      <c r="L20" s="14"/>
      <c r="M20" s="15"/>
    </row>
    <row r="21" spans="1:13" s="8" customFormat="1" ht="15" customHeight="1">
      <c r="A21" s="16" t="s">
        <v>23</v>
      </c>
      <c r="B21" s="16" t="s">
        <v>24</v>
      </c>
      <c r="D21" s="17">
        <v>1892</v>
      </c>
      <c r="E21" s="17"/>
      <c r="F21" s="18">
        <v>6677.15</v>
      </c>
      <c r="G21" s="19">
        <f>ROUND(D21*F21,4)</f>
        <v>12633167.8</v>
      </c>
      <c r="H21" s="20">
        <f>ROUND(G21/12,2)</f>
        <v>1052763.98</v>
      </c>
      <c r="I21" s="20">
        <f>ROUND(G21*-0.01/12,2)</f>
        <v>-10527.64</v>
      </c>
      <c r="J21" s="20">
        <f>ROUND(G21*-0.01/12,2)</f>
        <v>-10527.64</v>
      </c>
      <c r="K21" s="20">
        <f aca="true" t="shared" si="0" ref="K21:K38">ROUND(G21*-0.03/12,2)</f>
        <v>-31582.92</v>
      </c>
      <c r="L21" s="21">
        <v>-126113.13</v>
      </c>
      <c r="M21" s="16">
        <f aca="true" t="shared" si="1" ref="M21:M38">SUM(H21:L21)</f>
        <v>874012.6499999999</v>
      </c>
    </row>
    <row r="22" spans="1:13" s="8" customFormat="1" ht="15" customHeight="1">
      <c r="A22" s="16" t="s">
        <v>25</v>
      </c>
      <c r="B22" s="16" t="s">
        <v>26</v>
      </c>
      <c r="D22" s="22">
        <v>455.8</v>
      </c>
      <c r="E22" s="22"/>
      <c r="F22" s="23">
        <v>6564.41</v>
      </c>
      <c r="G22" s="19">
        <f aca="true" t="shared" si="2" ref="G22:G35">ROUND(D22*F22,4)</f>
        <v>2992058.078</v>
      </c>
      <c r="H22" s="20">
        <f aca="true" t="shared" si="3" ref="H22:H38">ROUND(G22/12,2)</f>
        <v>249338.17</v>
      </c>
      <c r="I22" s="20">
        <f aca="true" t="shared" si="4" ref="I22:I38">ROUND(G22*-0.01/12,2)</f>
        <v>-2493.38</v>
      </c>
      <c r="J22" s="20">
        <f aca="true" t="shared" si="5" ref="J22:J38">ROUND(G22*-0.01/12,2)</f>
        <v>-2493.38</v>
      </c>
      <c r="K22" s="20">
        <f t="shared" si="0"/>
        <v>-7480.15</v>
      </c>
      <c r="L22" s="21">
        <v>-1334.55</v>
      </c>
      <c r="M22" s="16">
        <f t="shared" si="1"/>
        <v>235536.71000000002</v>
      </c>
    </row>
    <row r="23" spans="1:13" s="8" customFormat="1" ht="15" customHeight="1">
      <c r="A23" s="16" t="s">
        <v>5</v>
      </c>
      <c r="B23" s="16" t="s">
        <v>27</v>
      </c>
      <c r="C23" s="10"/>
      <c r="D23" s="22">
        <v>202</v>
      </c>
      <c r="E23" s="22"/>
      <c r="F23" s="23">
        <v>7125.87</v>
      </c>
      <c r="G23" s="19">
        <f t="shared" si="2"/>
        <v>1439425.74</v>
      </c>
      <c r="H23" s="20">
        <f t="shared" si="3"/>
        <v>119952.15</v>
      </c>
      <c r="I23" s="20">
        <f t="shared" si="4"/>
        <v>-1199.52</v>
      </c>
      <c r="J23" s="20">
        <f t="shared" si="5"/>
        <v>-1199.52</v>
      </c>
      <c r="K23" s="20">
        <f t="shared" si="0"/>
        <v>-3598.56</v>
      </c>
      <c r="L23" s="21"/>
      <c r="M23" s="16">
        <f t="shared" si="1"/>
        <v>113954.54999999999</v>
      </c>
    </row>
    <row r="24" spans="1:13" s="8" customFormat="1" ht="15" customHeight="1">
      <c r="A24" s="16" t="s">
        <v>5</v>
      </c>
      <c r="B24" s="16" t="s">
        <v>28</v>
      </c>
      <c r="C24" s="10"/>
      <c r="D24" s="22">
        <v>1200</v>
      </c>
      <c r="E24" s="22"/>
      <c r="F24" s="23">
        <v>6244.85</v>
      </c>
      <c r="G24" s="19">
        <f t="shared" si="2"/>
        <v>7493820</v>
      </c>
      <c r="H24" s="20">
        <f t="shared" si="3"/>
        <v>624485</v>
      </c>
      <c r="I24" s="20">
        <f t="shared" si="4"/>
        <v>-6244.85</v>
      </c>
      <c r="J24" s="20">
        <f t="shared" si="5"/>
        <v>-6244.85</v>
      </c>
      <c r="K24" s="20">
        <f t="shared" si="0"/>
        <v>-18734.55</v>
      </c>
      <c r="L24" s="21"/>
      <c r="M24" s="16">
        <f t="shared" si="1"/>
        <v>593260.75</v>
      </c>
    </row>
    <row r="25" spans="1:13" s="8" customFormat="1" ht="15" customHeight="1">
      <c r="A25" s="16" t="s">
        <v>5</v>
      </c>
      <c r="B25" s="16" t="s">
        <v>29</v>
      </c>
      <c r="C25" s="7"/>
      <c r="D25" s="22">
        <v>204.8</v>
      </c>
      <c r="E25" s="22"/>
      <c r="F25" s="23">
        <v>7125.87</v>
      </c>
      <c r="G25" s="19">
        <f t="shared" si="2"/>
        <v>1459378.176</v>
      </c>
      <c r="H25" s="20">
        <f t="shared" si="3"/>
        <v>121614.85</v>
      </c>
      <c r="I25" s="20">
        <f t="shared" si="4"/>
        <v>-1216.15</v>
      </c>
      <c r="J25" s="20">
        <f t="shared" si="5"/>
        <v>-1216.15</v>
      </c>
      <c r="K25" s="20">
        <f t="shared" si="0"/>
        <v>-3648.45</v>
      </c>
      <c r="L25" s="21"/>
      <c r="M25" s="16">
        <f t="shared" si="1"/>
        <v>115534.10000000002</v>
      </c>
    </row>
    <row r="26" spans="1:13" s="8" customFormat="1" ht="15" customHeight="1">
      <c r="A26" s="16" t="s">
        <v>30</v>
      </c>
      <c r="B26" s="16" t="s">
        <v>31</v>
      </c>
      <c r="C26" s="10"/>
      <c r="D26" s="22">
        <v>198.8</v>
      </c>
      <c r="E26" s="22"/>
      <c r="F26" s="23">
        <v>7112.89</v>
      </c>
      <c r="G26" s="19">
        <f t="shared" si="2"/>
        <v>1414042.532</v>
      </c>
      <c r="H26" s="20">
        <f t="shared" si="3"/>
        <v>117836.88</v>
      </c>
      <c r="I26" s="20">
        <f t="shared" si="4"/>
        <v>-1178.37</v>
      </c>
      <c r="J26" s="20">
        <f t="shared" si="5"/>
        <v>-1178.37</v>
      </c>
      <c r="K26" s="20">
        <f t="shared" si="0"/>
        <v>-3535.11</v>
      </c>
      <c r="L26" s="21"/>
      <c r="M26" s="16">
        <f t="shared" si="1"/>
        <v>111945.03000000001</v>
      </c>
    </row>
    <row r="27" spans="1:13" s="8" customFormat="1" ht="15" customHeight="1">
      <c r="A27" s="16" t="s">
        <v>32</v>
      </c>
      <c r="B27" s="24" t="s">
        <v>33</v>
      </c>
      <c r="C27" s="10"/>
      <c r="D27" s="25">
        <v>289.1</v>
      </c>
      <c r="E27" s="25"/>
      <c r="F27" s="26">
        <v>6686.18</v>
      </c>
      <c r="G27" s="19">
        <f t="shared" si="2"/>
        <v>1932974.638</v>
      </c>
      <c r="H27" s="20">
        <f t="shared" si="3"/>
        <v>161081.22</v>
      </c>
      <c r="I27" s="20">
        <f t="shared" si="4"/>
        <v>-1610.81</v>
      </c>
      <c r="J27" s="20">
        <f t="shared" si="5"/>
        <v>-1610.81</v>
      </c>
      <c r="K27" s="20">
        <f t="shared" si="0"/>
        <v>-4832.44</v>
      </c>
      <c r="L27" s="21">
        <v>-18000</v>
      </c>
      <c r="M27" s="16">
        <f t="shared" si="1"/>
        <v>135027.16</v>
      </c>
    </row>
    <row r="28" spans="1:13" s="8" customFormat="1" ht="15" customHeight="1">
      <c r="A28" s="16" t="s">
        <v>32</v>
      </c>
      <c r="B28" s="16" t="s">
        <v>34</v>
      </c>
      <c r="C28" s="10"/>
      <c r="D28" s="25">
        <v>249.9</v>
      </c>
      <c r="E28" s="25"/>
      <c r="F28" s="26">
        <v>6686.18</v>
      </c>
      <c r="G28" s="19">
        <f t="shared" si="2"/>
        <v>1670876.382</v>
      </c>
      <c r="H28" s="20">
        <f t="shared" si="3"/>
        <v>139239.7</v>
      </c>
      <c r="I28" s="20">
        <f t="shared" si="4"/>
        <v>-1392.4</v>
      </c>
      <c r="J28" s="20">
        <f t="shared" si="5"/>
        <v>-1392.4</v>
      </c>
      <c r="K28" s="20">
        <f t="shared" si="0"/>
        <v>-4177.19</v>
      </c>
      <c r="L28" s="21"/>
      <c r="M28" s="16">
        <f t="shared" si="1"/>
        <v>132277.71000000002</v>
      </c>
    </row>
    <row r="29" spans="1:13" s="8" customFormat="1" ht="15" customHeight="1">
      <c r="A29" s="16" t="s">
        <v>32</v>
      </c>
      <c r="B29" s="27" t="s">
        <v>35</v>
      </c>
      <c r="D29" s="28">
        <v>115</v>
      </c>
      <c r="E29" s="28"/>
      <c r="F29" s="26">
        <v>6686.18</v>
      </c>
      <c r="G29" s="19">
        <f t="shared" si="2"/>
        <v>768910.7</v>
      </c>
      <c r="H29" s="20">
        <f t="shared" si="3"/>
        <v>64075.89</v>
      </c>
      <c r="I29" s="20">
        <f t="shared" si="4"/>
        <v>-640.76</v>
      </c>
      <c r="J29" s="20">
        <f t="shared" si="5"/>
        <v>-640.76</v>
      </c>
      <c r="K29" s="20">
        <f t="shared" si="0"/>
        <v>-1922.28</v>
      </c>
      <c r="L29" s="21"/>
      <c r="M29" s="16">
        <f t="shared" si="1"/>
        <v>60872.09</v>
      </c>
    </row>
    <row r="30" spans="1:13" s="8" customFormat="1" ht="15" customHeight="1">
      <c r="A30" s="16" t="s">
        <v>32</v>
      </c>
      <c r="B30" s="16" t="s">
        <v>36</v>
      </c>
      <c r="D30" s="25">
        <v>407.3</v>
      </c>
      <c r="E30" s="25"/>
      <c r="F30" s="26">
        <v>6686.18</v>
      </c>
      <c r="G30" s="19">
        <f t="shared" si="2"/>
        <v>2723281.114</v>
      </c>
      <c r="H30" s="20">
        <f t="shared" si="3"/>
        <v>226940.09</v>
      </c>
      <c r="I30" s="20">
        <f t="shared" si="4"/>
        <v>-2269.4</v>
      </c>
      <c r="J30" s="20">
        <f t="shared" si="5"/>
        <v>-2269.4</v>
      </c>
      <c r="K30" s="20">
        <f t="shared" si="0"/>
        <v>-6808.2</v>
      </c>
      <c r="L30" s="29">
        <v>-44408.75</v>
      </c>
      <c r="M30" s="16">
        <f t="shared" si="1"/>
        <v>171184.34</v>
      </c>
    </row>
    <row r="31" spans="1:13" s="8" customFormat="1" ht="15" customHeight="1">
      <c r="A31" s="16" t="s">
        <v>32</v>
      </c>
      <c r="B31" s="16" t="s">
        <v>37</v>
      </c>
      <c r="D31" s="25">
        <v>450</v>
      </c>
      <c r="E31" s="25"/>
      <c r="F31" s="26">
        <v>6686.18</v>
      </c>
      <c r="G31" s="19">
        <f t="shared" si="2"/>
        <v>3008781</v>
      </c>
      <c r="H31" s="20">
        <f t="shared" si="3"/>
        <v>250731.75</v>
      </c>
      <c r="I31" s="20">
        <f t="shared" si="4"/>
        <v>-2507.32</v>
      </c>
      <c r="J31" s="20">
        <f t="shared" si="5"/>
        <v>-2507.32</v>
      </c>
      <c r="K31" s="20">
        <f t="shared" si="0"/>
        <v>-7521.95</v>
      </c>
      <c r="L31" s="21"/>
      <c r="M31" s="16">
        <f t="shared" si="1"/>
        <v>238195.15999999997</v>
      </c>
    </row>
    <row r="32" spans="1:13" s="8" customFormat="1" ht="15" customHeight="1">
      <c r="A32" s="16" t="s">
        <v>32</v>
      </c>
      <c r="B32" s="16" t="s">
        <v>38</v>
      </c>
      <c r="D32" s="25">
        <v>335</v>
      </c>
      <c r="E32" s="25"/>
      <c r="F32" s="26">
        <v>6686.18</v>
      </c>
      <c r="G32" s="19">
        <f t="shared" si="2"/>
        <v>2239870.3</v>
      </c>
      <c r="H32" s="20">
        <f t="shared" si="3"/>
        <v>186655.86</v>
      </c>
      <c r="I32" s="20">
        <f t="shared" si="4"/>
        <v>-1866.56</v>
      </c>
      <c r="J32" s="20">
        <f t="shared" si="5"/>
        <v>-1866.56</v>
      </c>
      <c r="K32" s="20">
        <f t="shared" si="0"/>
        <v>-5599.68</v>
      </c>
      <c r="L32" s="21"/>
      <c r="M32" s="16">
        <f t="shared" si="1"/>
        <v>177323.06</v>
      </c>
    </row>
    <row r="33" spans="1:13" s="8" customFormat="1" ht="15" customHeight="1">
      <c r="A33" s="16" t="s">
        <v>39</v>
      </c>
      <c r="B33" s="16" t="s">
        <v>40</v>
      </c>
      <c r="D33" s="25">
        <v>199.5</v>
      </c>
      <c r="E33" s="25"/>
      <c r="F33" s="26">
        <v>7082.45</v>
      </c>
      <c r="G33" s="19">
        <f t="shared" si="2"/>
        <v>1412948.775</v>
      </c>
      <c r="H33" s="20">
        <f t="shared" si="3"/>
        <v>117745.73</v>
      </c>
      <c r="I33" s="20">
        <f t="shared" si="4"/>
        <v>-1177.46</v>
      </c>
      <c r="J33" s="20">
        <f t="shared" si="5"/>
        <v>-1177.46</v>
      </c>
      <c r="K33" s="20">
        <f t="shared" si="0"/>
        <v>-3532.37</v>
      </c>
      <c r="L33" s="21"/>
      <c r="M33" s="16">
        <f t="shared" si="1"/>
        <v>111858.43999999999</v>
      </c>
    </row>
    <row r="34" spans="1:13" s="8" customFormat="1" ht="15" customHeight="1">
      <c r="A34" s="16" t="s">
        <v>41</v>
      </c>
      <c r="B34" s="16" t="s">
        <v>42</v>
      </c>
      <c r="D34" s="25">
        <v>154</v>
      </c>
      <c r="E34" s="25"/>
      <c r="F34" s="26">
        <v>6692.26</v>
      </c>
      <c r="G34" s="19">
        <f t="shared" si="2"/>
        <v>1030608.04</v>
      </c>
      <c r="H34" s="20">
        <f t="shared" si="3"/>
        <v>85884</v>
      </c>
      <c r="I34" s="20">
        <f t="shared" si="4"/>
        <v>-858.84</v>
      </c>
      <c r="J34" s="20">
        <f t="shared" si="5"/>
        <v>-858.84</v>
      </c>
      <c r="K34" s="20">
        <f t="shared" si="0"/>
        <v>-2576.52</v>
      </c>
      <c r="L34" s="21"/>
      <c r="M34" s="16">
        <f t="shared" si="1"/>
        <v>81589.8</v>
      </c>
    </row>
    <row r="35" spans="1:13" s="8" customFormat="1" ht="15" customHeight="1">
      <c r="A35" s="16" t="s">
        <v>43</v>
      </c>
      <c r="B35" s="16" t="s">
        <v>44</v>
      </c>
      <c r="D35" s="25">
        <v>344</v>
      </c>
      <c r="E35" s="25"/>
      <c r="F35" s="26">
        <v>6471.9</v>
      </c>
      <c r="G35" s="19">
        <f t="shared" si="2"/>
        <v>2226333.6</v>
      </c>
      <c r="H35" s="20">
        <f t="shared" si="3"/>
        <v>185527.8</v>
      </c>
      <c r="I35" s="20">
        <f t="shared" si="4"/>
        <v>-1855.28</v>
      </c>
      <c r="J35" s="20">
        <f t="shared" si="5"/>
        <v>-1855.28</v>
      </c>
      <c r="K35" s="20">
        <f t="shared" si="0"/>
        <v>-5565.83</v>
      </c>
      <c r="L35" s="29">
        <v>-40866.67</v>
      </c>
      <c r="M35" s="16">
        <f t="shared" si="1"/>
        <v>135384.74</v>
      </c>
    </row>
    <row r="36" spans="1:13" s="8" customFormat="1" ht="15" customHeight="1">
      <c r="A36" s="16" t="s">
        <v>43</v>
      </c>
      <c r="B36" s="16" t="s">
        <v>45</v>
      </c>
      <c r="D36" s="25">
        <v>212.5</v>
      </c>
      <c r="E36" s="25"/>
      <c r="F36" s="26">
        <v>6244.85</v>
      </c>
      <c r="G36" s="19">
        <f>ROUND((D36*F36)+(12.5*2*0.08*6471.9),4)</f>
        <v>1339974.425</v>
      </c>
      <c r="H36" s="20">
        <f t="shared" si="3"/>
        <v>111664.54</v>
      </c>
      <c r="I36" s="20">
        <f>ROUND(G36*-0.01/12,2)</f>
        <v>-1116.65</v>
      </c>
      <c r="J36" s="20">
        <f>ROUND(G36*-0.01/12,2)</f>
        <v>-1116.65</v>
      </c>
      <c r="K36" s="20">
        <f t="shared" si="0"/>
        <v>-3349.94</v>
      </c>
      <c r="L36" s="20"/>
      <c r="M36" s="16">
        <f t="shared" si="1"/>
        <v>106081.3</v>
      </c>
    </row>
    <row r="37" spans="1:13" s="8" customFormat="1" ht="15" customHeight="1">
      <c r="A37" s="16" t="s">
        <v>43</v>
      </c>
      <c r="B37" s="16" t="s">
        <v>46</v>
      </c>
      <c r="D37" s="25">
        <v>400</v>
      </c>
      <c r="E37" s="25"/>
      <c r="F37" s="26">
        <v>6244.85</v>
      </c>
      <c r="G37" s="19">
        <f>ROUND(D37*F37,4)</f>
        <v>2497940</v>
      </c>
      <c r="H37" s="20">
        <f t="shared" si="3"/>
        <v>208161.67</v>
      </c>
      <c r="I37" s="20">
        <f>ROUND(G37*-0.01/12,2)</f>
        <v>-2081.62</v>
      </c>
      <c r="J37" s="20">
        <f>ROUND(G37*-0.01/12,2)</f>
        <v>-2081.62</v>
      </c>
      <c r="K37" s="20">
        <f t="shared" si="0"/>
        <v>-6244.85</v>
      </c>
      <c r="L37" s="20"/>
      <c r="M37" s="16">
        <f t="shared" si="1"/>
        <v>197753.58000000002</v>
      </c>
    </row>
    <row r="38" spans="1:13" s="8" customFormat="1" ht="15" customHeight="1">
      <c r="A38" s="16" t="s">
        <v>47</v>
      </c>
      <c r="B38" s="16" t="s">
        <v>48</v>
      </c>
      <c r="D38" s="30">
        <v>421.3</v>
      </c>
      <c r="E38" s="15"/>
      <c r="F38" s="26">
        <v>6471.9</v>
      </c>
      <c r="G38" s="19">
        <f>ROUND(D38*F38,4)</f>
        <v>2726611.47</v>
      </c>
      <c r="H38" s="20">
        <f t="shared" si="3"/>
        <v>227217.62</v>
      </c>
      <c r="I38" s="20">
        <f t="shared" si="4"/>
        <v>-2272.18</v>
      </c>
      <c r="J38" s="20">
        <f t="shared" si="5"/>
        <v>-2272.18</v>
      </c>
      <c r="K38" s="20">
        <f t="shared" si="0"/>
        <v>-6816.53</v>
      </c>
      <c r="L38" s="20"/>
      <c r="M38" s="16">
        <f t="shared" si="1"/>
        <v>215856.73</v>
      </c>
    </row>
    <row r="39" s="8" customFormat="1" ht="12.75">
      <c r="D39" s="31"/>
    </row>
    <row r="40" spans="4:13" ht="12.75">
      <c r="D40" s="32">
        <f>SUM(D21:D39)</f>
        <v>7731.000000000001</v>
      </c>
      <c r="G40" s="1">
        <f aca="true" t="shared" si="6" ref="G40:M40">SUM(G21:G39)</f>
        <v>51011002.76999999</v>
      </c>
      <c r="H40" s="1">
        <f t="shared" si="6"/>
        <v>4250916.899999999</v>
      </c>
      <c r="I40" s="1">
        <f t="shared" si="6"/>
        <v>-42509.19</v>
      </c>
      <c r="J40" s="1">
        <f t="shared" si="6"/>
        <v>-42509.19</v>
      </c>
      <c r="K40" s="1">
        <f t="shared" si="6"/>
        <v>-127527.51999999999</v>
      </c>
      <c r="L40" s="1">
        <f t="shared" si="6"/>
        <v>-230723.09999999998</v>
      </c>
      <c r="M40" s="1">
        <f t="shared" si="6"/>
        <v>3807647.9</v>
      </c>
    </row>
    <row r="41" ht="12.75">
      <c r="D41" s="32"/>
    </row>
    <row r="43" spans="1:14" ht="51">
      <c r="A43" s="33" t="s">
        <v>50</v>
      </c>
      <c r="B43" s="11"/>
      <c r="C43" s="11"/>
      <c r="D43" s="12" t="s">
        <v>15</v>
      </c>
      <c r="E43" s="12" t="s">
        <v>16</v>
      </c>
      <c r="F43" s="12" t="s">
        <v>17</v>
      </c>
      <c r="G43" s="12" t="s">
        <v>18</v>
      </c>
      <c r="H43" s="12" t="s">
        <v>19</v>
      </c>
      <c r="I43" s="12" t="s">
        <v>20</v>
      </c>
      <c r="J43" s="12" t="s">
        <v>53</v>
      </c>
      <c r="K43" s="12" t="s">
        <v>21</v>
      </c>
      <c r="L43" s="12" t="s">
        <v>49</v>
      </c>
      <c r="M43" s="12" t="s">
        <v>51</v>
      </c>
      <c r="N43" s="12" t="s">
        <v>22</v>
      </c>
    </row>
    <row r="44" spans="4:13" s="8" customFormat="1" ht="12.75">
      <c r="D44" s="13"/>
      <c r="E44" s="13"/>
      <c r="F44" s="14"/>
      <c r="G44" s="14"/>
      <c r="H44" s="14"/>
      <c r="I44" s="14"/>
      <c r="J44" s="14"/>
      <c r="K44" s="14"/>
      <c r="L44" s="14"/>
      <c r="M44" s="15"/>
    </row>
    <row r="45" spans="1:14" s="8" customFormat="1" ht="15" customHeight="1">
      <c r="A45" s="16" t="s">
        <v>23</v>
      </c>
      <c r="B45" s="16" t="s">
        <v>24</v>
      </c>
      <c r="D45" s="17">
        <v>1892</v>
      </c>
      <c r="E45" s="17"/>
      <c r="F45" s="18">
        <v>6677.15</v>
      </c>
      <c r="G45" s="19">
        <f>ROUND(D45*F45,4)</f>
        <v>12633167.8</v>
      </c>
      <c r="H45" s="20">
        <f>ROUND(G45/12,2)</f>
        <v>1052763.98</v>
      </c>
      <c r="I45" s="20">
        <f>ROUND(G45*-0.01/12,2)</f>
        <v>-10527.64</v>
      </c>
      <c r="J45" s="20">
        <f>ROUND(G45*-0.01/12,2)</f>
        <v>-10527.64</v>
      </c>
      <c r="K45" s="20">
        <f aca="true" t="shared" si="7" ref="K45:K62">ROUND(G45*-0.03/12,2)</f>
        <v>-31582.92</v>
      </c>
      <c r="L45" s="21">
        <f>-124531.05-1082.08</f>
        <v>-125613.13</v>
      </c>
      <c r="M45" s="16">
        <f aca="true" t="shared" si="8" ref="M45:M62">SUM(H45:L45)</f>
        <v>874512.6499999999</v>
      </c>
      <c r="N45" s="8">
        <f aca="true" t="shared" si="9" ref="N45:N62">ROUND(M45+(J45*-2),2)</f>
        <v>895567.93</v>
      </c>
    </row>
    <row r="46" spans="1:14" s="8" customFormat="1" ht="15" customHeight="1">
      <c r="A46" s="16" t="s">
        <v>25</v>
      </c>
      <c r="B46" s="16" t="s">
        <v>26</v>
      </c>
      <c r="D46" s="22">
        <v>455.8</v>
      </c>
      <c r="E46" s="22"/>
      <c r="F46" s="23">
        <v>6564.41</v>
      </c>
      <c r="G46" s="19">
        <f aca="true" t="shared" si="10" ref="G46:G59">ROUND(D46*F46,4)</f>
        <v>2992058.078</v>
      </c>
      <c r="H46" s="20">
        <f aca="true" t="shared" si="11" ref="H46:H62">ROUND(G46/12,2)</f>
        <v>249338.17</v>
      </c>
      <c r="I46" s="20">
        <f aca="true" t="shared" si="12" ref="I46:I59">ROUND(G46*-0.01/12,2)</f>
        <v>-2493.38</v>
      </c>
      <c r="J46" s="20">
        <f aca="true" t="shared" si="13" ref="J46:J62">ROUND(G46*-0.01/12,2)</f>
        <v>-2493.38</v>
      </c>
      <c r="K46" s="20">
        <f t="shared" si="7"/>
        <v>-7480.15</v>
      </c>
      <c r="L46" s="21">
        <v>-1084.55</v>
      </c>
      <c r="M46" s="16">
        <f t="shared" si="8"/>
        <v>235786.71000000002</v>
      </c>
      <c r="N46" s="8">
        <f t="shared" si="9"/>
        <v>240773.47</v>
      </c>
    </row>
    <row r="47" spans="1:14" s="8" customFormat="1" ht="15" customHeight="1">
      <c r="A47" s="16" t="s">
        <v>5</v>
      </c>
      <c r="B47" s="16" t="s">
        <v>27</v>
      </c>
      <c r="C47" s="10"/>
      <c r="D47" s="22">
        <v>202</v>
      </c>
      <c r="E47" s="22"/>
      <c r="F47" s="23">
        <v>7125.87</v>
      </c>
      <c r="G47" s="19">
        <f t="shared" si="10"/>
        <v>1439425.74</v>
      </c>
      <c r="H47" s="20">
        <f t="shared" si="11"/>
        <v>119952.15</v>
      </c>
      <c r="I47" s="20">
        <f t="shared" si="12"/>
        <v>-1199.52</v>
      </c>
      <c r="J47" s="20">
        <f t="shared" si="13"/>
        <v>-1199.52</v>
      </c>
      <c r="K47" s="20">
        <f t="shared" si="7"/>
        <v>-3598.56</v>
      </c>
      <c r="L47" s="21"/>
      <c r="M47" s="16">
        <f t="shared" si="8"/>
        <v>113954.54999999999</v>
      </c>
      <c r="N47" s="8">
        <f t="shared" si="9"/>
        <v>116353.59</v>
      </c>
    </row>
    <row r="48" spans="1:14" s="8" customFormat="1" ht="15" customHeight="1">
      <c r="A48" s="16" t="s">
        <v>5</v>
      </c>
      <c r="B48" s="16" t="s">
        <v>28</v>
      </c>
      <c r="C48" s="10"/>
      <c r="D48" s="22">
        <v>1200</v>
      </c>
      <c r="E48" s="22"/>
      <c r="F48" s="23">
        <v>6244.85</v>
      </c>
      <c r="G48" s="19">
        <f t="shared" si="10"/>
        <v>7493820</v>
      </c>
      <c r="H48" s="20">
        <f t="shared" si="11"/>
        <v>624485</v>
      </c>
      <c r="I48" s="20">
        <f t="shared" si="12"/>
        <v>-6244.85</v>
      </c>
      <c r="J48" s="20">
        <f t="shared" si="13"/>
        <v>-6244.85</v>
      </c>
      <c r="K48" s="20">
        <f t="shared" si="7"/>
        <v>-18734.55</v>
      </c>
      <c r="L48" s="21"/>
      <c r="M48" s="16">
        <f t="shared" si="8"/>
        <v>593260.75</v>
      </c>
      <c r="N48" s="8">
        <f t="shared" si="9"/>
        <v>605750.45</v>
      </c>
    </row>
    <row r="49" spans="1:14" s="8" customFormat="1" ht="15" customHeight="1">
      <c r="A49" s="16" t="s">
        <v>5</v>
      </c>
      <c r="B49" s="16" t="s">
        <v>29</v>
      </c>
      <c r="C49" s="7"/>
      <c r="D49" s="22">
        <v>204.8</v>
      </c>
      <c r="E49" s="22"/>
      <c r="F49" s="23">
        <v>7125.87</v>
      </c>
      <c r="G49" s="19">
        <f t="shared" si="10"/>
        <v>1459378.176</v>
      </c>
      <c r="H49" s="20">
        <f t="shared" si="11"/>
        <v>121614.85</v>
      </c>
      <c r="I49" s="20">
        <f t="shared" si="12"/>
        <v>-1216.15</v>
      </c>
      <c r="J49" s="20">
        <f t="shared" si="13"/>
        <v>-1216.15</v>
      </c>
      <c r="K49" s="20">
        <f t="shared" si="7"/>
        <v>-3648.45</v>
      </c>
      <c r="L49" s="21"/>
      <c r="M49" s="16">
        <f t="shared" si="8"/>
        <v>115534.10000000002</v>
      </c>
      <c r="N49" s="8">
        <f t="shared" si="9"/>
        <v>117966.4</v>
      </c>
    </row>
    <row r="50" spans="1:14" s="8" customFormat="1" ht="15" customHeight="1">
      <c r="A50" s="16" t="s">
        <v>30</v>
      </c>
      <c r="B50" s="16" t="s">
        <v>31</v>
      </c>
      <c r="C50" s="10"/>
      <c r="D50" s="22">
        <v>198.8</v>
      </c>
      <c r="E50" s="22"/>
      <c r="F50" s="23">
        <v>7112.89</v>
      </c>
      <c r="G50" s="19">
        <f t="shared" si="10"/>
        <v>1414042.532</v>
      </c>
      <c r="H50" s="20">
        <f t="shared" si="11"/>
        <v>117836.88</v>
      </c>
      <c r="I50" s="20">
        <f t="shared" si="12"/>
        <v>-1178.37</v>
      </c>
      <c r="J50" s="20">
        <f t="shared" si="13"/>
        <v>-1178.37</v>
      </c>
      <c r="K50" s="20">
        <f t="shared" si="7"/>
        <v>-3535.11</v>
      </c>
      <c r="L50" s="21"/>
      <c r="M50" s="16">
        <f t="shared" si="8"/>
        <v>111945.03000000001</v>
      </c>
      <c r="N50" s="8">
        <f t="shared" si="9"/>
        <v>114301.77</v>
      </c>
    </row>
    <row r="51" spans="1:14" s="8" customFormat="1" ht="15" customHeight="1">
      <c r="A51" s="16" t="s">
        <v>32</v>
      </c>
      <c r="B51" s="24" t="s">
        <v>33</v>
      </c>
      <c r="C51" s="10"/>
      <c r="D51" s="25">
        <v>289.1</v>
      </c>
      <c r="E51" s="25"/>
      <c r="F51" s="26">
        <v>6686.18</v>
      </c>
      <c r="G51" s="19">
        <f t="shared" si="10"/>
        <v>1932974.638</v>
      </c>
      <c r="H51" s="20">
        <f t="shared" si="11"/>
        <v>161081.22</v>
      </c>
      <c r="I51" s="20">
        <f t="shared" si="12"/>
        <v>-1610.81</v>
      </c>
      <c r="J51" s="20">
        <f t="shared" si="13"/>
        <v>-1610.81</v>
      </c>
      <c r="K51" s="20">
        <f t="shared" si="7"/>
        <v>-4832.44</v>
      </c>
      <c r="L51" s="21">
        <v>-17750</v>
      </c>
      <c r="M51" s="16">
        <f t="shared" si="8"/>
        <v>135277.16</v>
      </c>
      <c r="N51" s="8">
        <f t="shared" si="9"/>
        <v>138498.78</v>
      </c>
    </row>
    <row r="52" spans="1:14" s="8" customFormat="1" ht="15" customHeight="1">
      <c r="A52" s="16" t="s">
        <v>32</v>
      </c>
      <c r="B52" s="16" t="s">
        <v>34</v>
      </c>
      <c r="C52" s="10"/>
      <c r="D52" s="25">
        <v>249.9</v>
      </c>
      <c r="E52" s="25"/>
      <c r="F52" s="26">
        <v>6686.18</v>
      </c>
      <c r="G52" s="19">
        <f t="shared" si="10"/>
        <v>1670876.382</v>
      </c>
      <c r="H52" s="20">
        <f t="shared" si="11"/>
        <v>139239.7</v>
      </c>
      <c r="I52" s="20">
        <f t="shared" si="12"/>
        <v>-1392.4</v>
      </c>
      <c r="J52" s="20">
        <f t="shared" si="13"/>
        <v>-1392.4</v>
      </c>
      <c r="K52" s="20">
        <f t="shared" si="7"/>
        <v>-4177.19</v>
      </c>
      <c r="L52" s="21"/>
      <c r="M52" s="16">
        <f t="shared" si="8"/>
        <v>132277.71000000002</v>
      </c>
      <c r="N52" s="8">
        <f t="shared" si="9"/>
        <v>135062.51</v>
      </c>
    </row>
    <row r="53" spans="1:14" s="8" customFormat="1" ht="15" customHeight="1">
      <c r="A53" s="16" t="s">
        <v>32</v>
      </c>
      <c r="B53" s="27" t="s">
        <v>35</v>
      </c>
      <c r="D53" s="28">
        <v>115</v>
      </c>
      <c r="E53" s="28"/>
      <c r="F53" s="26">
        <v>6686.18</v>
      </c>
      <c r="G53" s="19">
        <f t="shared" si="10"/>
        <v>768910.7</v>
      </c>
      <c r="H53" s="20">
        <f t="shared" si="11"/>
        <v>64075.89</v>
      </c>
      <c r="I53" s="20">
        <f t="shared" si="12"/>
        <v>-640.76</v>
      </c>
      <c r="J53" s="20">
        <f t="shared" si="13"/>
        <v>-640.76</v>
      </c>
      <c r="K53" s="20">
        <f t="shared" si="7"/>
        <v>-1922.28</v>
      </c>
      <c r="L53" s="21"/>
      <c r="M53" s="16">
        <f t="shared" si="8"/>
        <v>60872.09</v>
      </c>
      <c r="N53" s="8">
        <f t="shared" si="9"/>
        <v>62153.61</v>
      </c>
    </row>
    <row r="54" spans="1:14" s="8" customFormat="1" ht="15" customHeight="1">
      <c r="A54" s="16" t="s">
        <v>32</v>
      </c>
      <c r="B54" s="16" t="s">
        <v>36</v>
      </c>
      <c r="D54" s="25">
        <v>407.3</v>
      </c>
      <c r="E54" s="25"/>
      <c r="F54" s="26">
        <v>6686.18</v>
      </c>
      <c r="G54" s="19">
        <f t="shared" si="10"/>
        <v>2723281.114</v>
      </c>
      <c r="H54" s="20">
        <f t="shared" si="11"/>
        <v>226940.09</v>
      </c>
      <c r="I54" s="20">
        <f t="shared" si="12"/>
        <v>-2269.4</v>
      </c>
      <c r="J54" s="20">
        <f t="shared" si="13"/>
        <v>-2269.4</v>
      </c>
      <c r="K54" s="20">
        <f t="shared" si="7"/>
        <v>-6808.2</v>
      </c>
      <c r="L54" s="29">
        <v>-44158.75</v>
      </c>
      <c r="M54" s="16">
        <f t="shared" si="8"/>
        <v>171434.34</v>
      </c>
      <c r="N54" s="8">
        <f t="shared" si="9"/>
        <v>175973.14</v>
      </c>
    </row>
    <row r="55" spans="1:14" s="8" customFormat="1" ht="15" customHeight="1">
      <c r="A55" s="16" t="s">
        <v>32</v>
      </c>
      <c r="B55" s="16" t="s">
        <v>37</v>
      </c>
      <c r="D55" s="25">
        <v>450</v>
      </c>
      <c r="E55" s="25"/>
      <c r="F55" s="26">
        <v>6686.18</v>
      </c>
      <c r="G55" s="19">
        <f t="shared" si="10"/>
        <v>3008781</v>
      </c>
      <c r="H55" s="20">
        <f t="shared" si="11"/>
        <v>250731.75</v>
      </c>
      <c r="I55" s="20">
        <f t="shared" si="12"/>
        <v>-2507.32</v>
      </c>
      <c r="J55" s="20">
        <f t="shared" si="13"/>
        <v>-2507.32</v>
      </c>
      <c r="K55" s="20">
        <f t="shared" si="7"/>
        <v>-7521.95</v>
      </c>
      <c r="L55" s="21"/>
      <c r="M55" s="16">
        <f t="shared" si="8"/>
        <v>238195.15999999997</v>
      </c>
      <c r="N55" s="8">
        <f t="shared" si="9"/>
        <v>243209.8</v>
      </c>
    </row>
    <row r="56" spans="1:14" s="8" customFormat="1" ht="15" customHeight="1">
      <c r="A56" s="16" t="s">
        <v>32</v>
      </c>
      <c r="B56" s="16" t="s">
        <v>38</v>
      </c>
      <c r="D56" s="25">
        <v>335</v>
      </c>
      <c r="E56" s="25"/>
      <c r="F56" s="26">
        <v>6686.18</v>
      </c>
      <c r="G56" s="19">
        <f t="shared" si="10"/>
        <v>2239870.3</v>
      </c>
      <c r="H56" s="20">
        <f t="shared" si="11"/>
        <v>186655.86</v>
      </c>
      <c r="I56" s="20">
        <f t="shared" si="12"/>
        <v>-1866.56</v>
      </c>
      <c r="J56" s="20">
        <f t="shared" si="13"/>
        <v>-1866.56</v>
      </c>
      <c r="K56" s="20">
        <f t="shared" si="7"/>
        <v>-5599.68</v>
      </c>
      <c r="L56" s="21"/>
      <c r="M56" s="16">
        <f t="shared" si="8"/>
        <v>177323.06</v>
      </c>
      <c r="N56" s="8">
        <f t="shared" si="9"/>
        <v>181056.18</v>
      </c>
    </row>
    <row r="57" spans="1:14" s="8" customFormat="1" ht="15" customHeight="1">
      <c r="A57" s="16" t="s">
        <v>39</v>
      </c>
      <c r="B57" s="16" t="s">
        <v>40</v>
      </c>
      <c r="D57" s="25">
        <v>199.5</v>
      </c>
      <c r="E57" s="25"/>
      <c r="F57" s="26">
        <v>7082.45</v>
      </c>
      <c r="G57" s="19">
        <f t="shared" si="10"/>
        <v>1412948.775</v>
      </c>
      <c r="H57" s="20">
        <f t="shared" si="11"/>
        <v>117745.73</v>
      </c>
      <c r="I57" s="20">
        <f t="shared" si="12"/>
        <v>-1177.46</v>
      </c>
      <c r="J57" s="20">
        <f t="shared" si="13"/>
        <v>-1177.46</v>
      </c>
      <c r="K57" s="20">
        <f t="shared" si="7"/>
        <v>-3532.37</v>
      </c>
      <c r="L57" s="21"/>
      <c r="M57" s="16">
        <f t="shared" si="8"/>
        <v>111858.43999999999</v>
      </c>
      <c r="N57" s="8">
        <f t="shared" si="9"/>
        <v>114213.36</v>
      </c>
    </row>
    <row r="58" spans="1:14" s="8" customFormat="1" ht="15" customHeight="1">
      <c r="A58" s="16" t="s">
        <v>41</v>
      </c>
      <c r="B58" s="16" t="s">
        <v>42</v>
      </c>
      <c r="D58" s="25">
        <v>154</v>
      </c>
      <c r="E58" s="25"/>
      <c r="F58" s="26">
        <v>6692.26</v>
      </c>
      <c r="G58" s="19">
        <f t="shared" si="10"/>
        <v>1030608.04</v>
      </c>
      <c r="H58" s="20">
        <f t="shared" si="11"/>
        <v>85884</v>
      </c>
      <c r="I58" s="20">
        <f t="shared" si="12"/>
        <v>-858.84</v>
      </c>
      <c r="J58" s="20">
        <f t="shared" si="13"/>
        <v>-858.84</v>
      </c>
      <c r="K58" s="20">
        <f t="shared" si="7"/>
        <v>-2576.52</v>
      </c>
      <c r="L58" s="21"/>
      <c r="M58" s="16">
        <f t="shared" si="8"/>
        <v>81589.8</v>
      </c>
      <c r="N58" s="8">
        <f t="shared" si="9"/>
        <v>83307.48</v>
      </c>
    </row>
    <row r="59" spans="1:14" s="8" customFormat="1" ht="15" customHeight="1">
      <c r="A59" s="16" t="s">
        <v>43</v>
      </c>
      <c r="B59" s="15" t="s">
        <v>44</v>
      </c>
      <c r="D59" s="25">
        <v>344</v>
      </c>
      <c r="E59" s="25"/>
      <c r="F59" s="26">
        <v>6471.9</v>
      </c>
      <c r="G59" s="19">
        <f t="shared" si="10"/>
        <v>2226333.6</v>
      </c>
      <c r="H59" s="20">
        <f t="shared" si="11"/>
        <v>185527.8</v>
      </c>
      <c r="I59" s="20">
        <f t="shared" si="12"/>
        <v>-1855.28</v>
      </c>
      <c r="J59" s="20">
        <f t="shared" si="13"/>
        <v>-1855.28</v>
      </c>
      <c r="K59" s="20">
        <f t="shared" si="7"/>
        <v>-5565.83</v>
      </c>
      <c r="L59" s="29">
        <v>-40616.67</v>
      </c>
      <c r="M59" s="16">
        <f t="shared" si="8"/>
        <v>135634.74</v>
      </c>
      <c r="N59" s="8">
        <f t="shared" si="9"/>
        <v>139345.3</v>
      </c>
    </row>
    <row r="60" spans="1:14" s="8" customFormat="1" ht="15" customHeight="1">
      <c r="A60" s="16" t="s">
        <v>43</v>
      </c>
      <c r="B60" s="16" t="s">
        <v>45</v>
      </c>
      <c r="D60" s="25">
        <v>212.5</v>
      </c>
      <c r="E60" s="34">
        <v>6471.9</v>
      </c>
      <c r="F60" s="26">
        <v>6244.85</v>
      </c>
      <c r="G60" s="19">
        <f>ROUND((D60*F60)+(12.5*2*0.08*6471.9),4)</f>
        <v>1339974.425</v>
      </c>
      <c r="H60" s="20">
        <f t="shared" si="11"/>
        <v>111664.54</v>
      </c>
      <c r="I60" s="20">
        <f>ROUND(G60*-0.01/12,2)</f>
        <v>-1116.65</v>
      </c>
      <c r="J60" s="20">
        <f>ROUND(G60*-0.01/12,2)</f>
        <v>-1116.65</v>
      </c>
      <c r="K60" s="20">
        <f t="shared" si="7"/>
        <v>-3349.94</v>
      </c>
      <c r="L60" s="14"/>
      <c r="M60" s="16">
        <f t="shared" si="8"/>
        <v>106081.3</v>
      </c>
      <c r="N60" s="8">
        <f t="shared" si="9"/>
        <v>108314.6</v>
      </c>
    </row>
    <row r="61" spans="1:14" s="8" customFormat="1" ht="15" customHeight="1">
      <c r="A61" s="16" t="s">
        <v>43</v>
      </c>
      <c r="B61" s="16" t="s">
        <v>46</v>
      </c>
      <c r="D61" s="25">
        <v>400</v>
      </c>
      <c r="E61" s="25"/>
      <c r="F61" s="26">
        <v>6244.85</v>
      </c>
      <c r="G61" s="19">
        <f>ROUND(D61*F61,4)</f>
        <v>2497940</v>
      </c>
      <c r="H61" s="20">
        <f t="shared" si="11"/>
        <v>208161.67</v>
      </c>
      <c r="I61" s="20">
        <f>ROUND(G61*-0.01/12,2)</f>
        <v>-2081.62</v>
      </c>
      <c r="J61" s="20">
        <f>ROUND(G61*-0.01/12,2)</f>
        <v>-2081.62</v>
      </c>
      <c r="K61" s="20">
        <f t="shared" si="7"/>
        <v>-6244.85</v>
      </c>
      <c r="L61" s="20"/>
      <c r="M61" s="16">
        <f t="shared" si="8"/>
        <v>197753.58000000002</v>
      </c>
      <c r="N61" s="8">
        <f t="shared" si="9"/>
        <v>201916.82</v>
      </c>
    </row>
    <row r="62" spans="1:14" s="8" customFormat="1" ht="15" customHeight="1">
      <c r="A62" s="16" t="s">
        <v>47</v>
      </c>
      <c r="B62" s="16" t="s">
        <v>48</v>
      </c>
      <c r="D62" s="30">
        <v>421.3</v>
      </c>
      <c r="E62" s="15"/>
      <c r="F62" s="26">
        <v>6471.9</v>
      </c>
      <c r="G62" s="19">
        <f>ROUND(D62*F62,4)</f>
        <v>2726611.47</v>
      </c>
      <c r="H62" s="20">
        <f t="shared" si="11"/>
        <v>227217.62</v>
      </c>
      <c r="I62" s="20">
        <f>ROUND(G62*-0.01/12,2)</f>
        <v>-2272.18</v>
      </c>
      <c r="J62" s="20">
        <f t="shared" si="13"/>
        <v>-2272.18</v>
      </c>
      <c r="K62" s="20">
        <f t="shared" si="7"/>
        <v>-6816.53</v>
      </c>
      <c r="L62" s="20"/>
      <c r="M62" s="16">
        <f t="shared" si="8"/>
        <v>215856.73</v>
      </c>
      <c r="N62" s="8">
        <f t="shared" si="9"/>
        <v>220401.09</v>
      </c>
    </row>
    <row r="63" s="8" customFormat="1" ht="12.75">
      <c r="D63" s="31"/>
    </row>
    <row r="64" spans="4:14" ht="12.75">
      <c r="D64" s="32">
        <f>SUM(D45:D63)</f>
        <v>7731.000000000001</v>
      </c>
      <c r="G64" s="1">
        <f aca="true" t="shared" si="14" ref="G64:N64">SUM(G45:G63)</f>
        <v>51011002.76999999</v>
      </c>
      <c r="H64" s="1">
        <f t="shared" si="14"/>
        <v>4250916.899999999</v>
      </c>
      <c r="I64" s="1">
        <f t="shared" si="14"/>
        <v>-42509.19</v>
      </c>
      <c r="J64" s="1">
        <f t="shared" si="14"/>
        <v>-42509.19</v>
      </c>
      <c r="K64" s="1">
        <f t="shared" si="14"/>
        <v>-127527.51999999999</v>
      </c>
      <c r="L64" s="1">
        <f t="shared" si="14"/>
        <v>-229223.09999999998</v>
      </c>
      <c r="M64" s="1">
        <f t="shared" si="14"/>
        <v>3809147.9</v>
      </c>
      <c r="N64" s="1">
        <f t="shared" si="14"/>
        <v>3894166.28</v>
      </c>
    </row>
    <row r="67" spans="1:14" ht="51">
      <c r="A67" s="33" t="s">
        <v>52</v>
      </c>
      <c r="B67" s="11"/>
      <c r="C67" s="11"/>
      <c r="D67" s="12" t="s">
        <v>15</v>
      </c>
      <c r="E67" s="12" t="s">
        <v>16</v>
      </c>
      <c r="F67" s="12" t="s">
        <v>17</v>
      </c>
      <c r="G67" s="12" t="s">
        <v>18</v>
      </c>
      <c r="H67" s="12" t="s">
        <v>19</v>
      </c>
      <c r="I67" s="12" t="s">
        <v>20</v>
      </c>
      <c r="J67" s="12" t="s">
        <v>53</v>
      </c>
      <c r="K67" s="12" t="s">
        <v>21</v>
      </c>
      <c r="L67" s="12" t="s">
        <v>49</v>
      </c>
      <c r="M67" s="12" t="s">
        <v>51</v>
      </c>
      <c r="N67" s="12" t="s">
        <v>22</v>
      </c>
    </row>
    <row r="68" spans="1:14" ht="12.75">
      <c r="A68" s="8"/>
      <c r="B68" s="8"/>
      <c r="C68" s="8"/>
      <c r="D68" s="13"/>
      <c r="E68" s="13"/>
      <c r="F68" s="14"/>
      <c r="G68" s="14"/>
      <c r="H68" s="14"/>
      <c r="I68" s="14"/>
      <c r="J68" s="14"/>
      <c r="K68" s="14"/>
      <c r="L68" s="14"/>
      <c r="M68" s="15"/>
      <c r="N68" s="8"/>
    </row>
    <row r="69" spans="1:14" ht="12.75">
      <c r="A69" s="16" t="s">
        <v>23</v>
      </c>
      <c r="B69" s="16" t="s">
        <v>24</v>
      </c>
      <c r="C69" s="8"/>
      <c r="D69" s="17">
        <v>1892</v>
      </c>
      <c r="E69" s="17"/>
      <c r="F69" s="18">
        <v>6677.15</v>
      </c>
      <c r="G69" s="19">
        <f>ROUND(D69*F69,4)</f>
        <v>12633167.8</v>
      </c>
      <c r="H69" s="20">
        <f>ROUND(G69/12,2)</f>
        <v>1052763.98</v>
      </c>
      <c r="I69" s="20">
        <f>ROUND(G69*-0.01/12,2)</f>
        <v>-10527.64</v>
      </c>
      <c r="J69" s="20">
        <f>ROUND(G69*-0.01/12,2)</f>
        <v>-10527.64</v>
      </c>
      <c r="K69" s="20">
        <f aca="true" t="shared" si="15" ref="K69:K86">ROUND(G69*-0.03/12,2)</f>
        <v>-31582.92</v>
      </c>
      <c r="L69" s="21">
        <f>-124531.05-65168.75</f>
        <v>-189699.8</v>
      </c>
      <c r="M69" s="16">
        <f aca="true" t="shared" si="16" ref="M69:M86">SUM(H69:L69)</f>
        <v>810425.98</v>
      </c>
      <c r="N69" s="8">
        <f aca="true" t="shared" si="17" ref="N69:N86">ROUND(M69+(J69*-1),2)</f>
        <v>820953.62</v>
      </c>
    </row>
    <row r="70" spans="1:14" ht="12.75">
      <c r="A70" s="16" t="s">
        <v>25</v>
      </c>
      <c r="B70" s="16" t="s">
        <v>26</v>
      </c>
      <c r="C70" s="8"/>
      <c r="D70" s="22">
        <v>455.8</v>
      </c>
      <c r="E70" s="22"/>
      <c r="F70" s="23">
        <v>6564.41</v>
      </c>
      <c r="G70" s="19">
        <f aca="true" t="shared" si="18" ref="G70:G83">ROUND(D70*F70,4)</f>
        <v>2992058.078</v>
      </c>
      <c r="H70" s="20">
        <f aca="true" t="shared" si="19" ref="H70:H86">ROUND(G70/12,2)</f>
        <v>249338.17</v>
      </c>
      <c r="I70" s="20">
        <f aca="true" t="shared" si="20" ref="I70:I83">ROUND(G70*-0.01/12,2)</f>
        <v>-2493.38</v>
      </c>
      <c r="J70" s="20">
        <f aca="true" t="shared" si="21" ref="J70:J83">ROUND(G70*-0.01/12,2)</f>
        <v>-2493.38</v>
      </c>
      <c r="K70" s="20">
        <f t="shared" si="15"/>
        <v>-7480.15</v>
      </c>
      <c r="L70" s="21">
        <v>-1084.55</v>
      </c>
      <c r="M70" s="16">
        <f t="shared" si="16"/>
        <v>235786.71000000002</v>
      </c>
      <c r="N70" s="8">
        <f t="shared" si="17"/>
        <v>238280.09</v>
      </c>
    </row>
    <row r="71" spans="1:14" ht="12.75">
      <c r="A71" s="16" t="s">
        <v>5</v>
      </c>
      <c r="B71" s="16" t="s">
        <v>27</v>
      </c>
      <c r="C71" s="10"/>
      <c r="D71" s="22">
        <v>202</v>
      </c>
      <c r="E71" s="22"/>
      <c r="F71" s="23">
        <v>7125.87</v>
      </c>
      <c r="G71" s="19">
        <f t="shared" si="18"/>
        <v>1439425.74</v>
      </c>
      <c r="H71" s="20">
        <f t="shared" si="19"/>
        <v>119952.15</v>
      </c>
      <c r="I71" s="20">
        <f t="shared" si="20"/>
        <v>-1199.52</v>
      </c>
      <c r="J71" s="20">
        <f t="shared" si="21"/>
        <v>-1199.52</v>
      </c>
      <c r="K71" s="20">
        <f t="shared" si="15"/>
        <v>-3598.56</v>
      </c>
      <c r="L71" s="21"/>
      <c r="M71" s="16">
        <f t="shared" si="16"/>
        <v>113954.54999999999</v>
      </c>
      <c r="N71" s="8">
        <f t="shared" si="17"/>
        <v>115154.07</v>
      </c>
    </row>
    <row r="72" spans="1:14" ht="12.75">
      <c r="A72" s="16" t="s">
        <v>5</v>
      </c>
      <c r="B72" s="16" t="s">
        <v>28</v>
      </c>
      <c r="C72" s="10"/>
      <c r="D72" s="22">
        <v>1200</v>
      </c>
      <c r="E72" s="22"/>
      <c r="F72" s="23">
        <v>6244.85</v>
      </c>
      <c r="G72" s="19">
        <f t="shared" si="18"/>
        <v>7493820</v>
      </c>
      <c r="H72" s="20">
        <f t="shared" si="19"/>
        <v>624485</v>
      </c>
      <c r="I72" s="20">
        <f t="shared" si="20"/>
        <v>-6244.85</v>
      </c>
      <c r="J72" s="20">
        <f t="shared" si="21"/>
        <v>-6244.85</v>
      </c>
      <c r="K72" s="20">
        <f t="shared" si="15"/>
        <v>-18734.55</v>
      </c>
      <c r="L72" s="21"/>
      <c r="M72" s="16">
        <f t="shared" si="16"/>
        <v>593260.75</v>
      </c>
      <c r="N72" s="8">
        <f t="shared" si="17"/>
        <v>599505.6</v>
      </c>
    </row>
    <row r="73" spans="1:14" ht="12.75">
      <c r="A73" s="16" t="s">
        <v>5</v>
      </c>
      <c r="B73" s="16" t="s">
        <v>29</v>
      </c>
      <c r="C73" s="7"/>
      <c r="D73" s="22">
        <v>204.8</v>
      </c>
      <c r="E73" s="22"/>
      <c r="F73" s="23">
        <v>7125.87</v>
      </c>
      <c r="G73" s="19">
        <f t="shared" si="18"/>
        <v>1459378.176</v>
      </c>
      <c r="H73" s="20">
        <f t="shared" si="19"/>
        <v>121614.85</v>
      </c>
      <c r="I73" s="20">
        <f t="shared" si="20"/>
        <v>-1216.15</v>
      </c>
      <c r="J73" s="20">
        <f t="shared" si="21"/>
        <v>-1216.15</v>
      </c>
      <c r="K73" s="20">
        <f t="shared" si="15"/>
        <v>-3648.45</v>
      </c>
      <c r="L73" s="21"/>
      <c r="M73" s="16">
        <f t="shared" si="16"/>
        <v>115534.10000000002</v>
      </c>
      <c r="N73" s="8">
        <f t="shared" si="17"/>
        <v>116750.25</v>
      </c>
    </row>
    <row r="74" spans="1:14" ht="12.75">
      <c r="A74" s="16" t="s">
        <v>30</v>
      </c>
      <c r="B74" s="16" t="s">
        <v>31</v>
      </c>
      <c r="C74" s="10"/>
      <c r="D74" s="22">
        <v>198.8</v>
      </c>
      <c r="E74" s="22"/>
      <c r="F74" s="23">
        <v>7112.89</v>
      </c>
      <c r="G74" s="19">
        <f t="shared" si="18"/>
        <v>1414042.532</v>
      </c>
      <c r="H74" s="20">
        <f t="shared" si="19"/>
        <v>117836.88</v>
      </c>
      <c r="I74" s="20">
        <f t="shared" si="20"/>
        <v>-1178.37</v>
      </c>
      <c r="J74" s="20">
        <f t="shared" si="21"/>
        <v>-1178.37</v>
      </c>
      <c r="K74" s="20">
        <f t="shared" si="15"/>
        <v>-3535.11</v>
      </c>
      <c r="L74" s="21"/>
      <c r="M74" s="16">
        <f t="shared" si="16"/>
        <v>111945.03000000001</v>
      </c>
      <c r="N74" s="8">
        <f t="shared" si="17"/>
        <v>113123.4</v>
      </c>
    </row>
    <row r="75" spans="1:14" ht="15.75" customHeight="1">
      <c r="A75" s="16" t="s">
        <v>32</v>
      </c>
      <c r="B75" s="24" t="s">
        <v>33</v>
      </c>
      <c r="C75" s="10"/>
      <c r="D75" s="25">
        <v>289.1</v>
      </c>
      <c r="E75" s="25"/>
      <c r="F75" s="26">
        <v>6686.18</v>
      </c>
      <c r="G75" s="19">
        <f t="shared" si="18"/>
        <v>1932974.638</v>
      </c>
      <c r="H75" s="20">
        <f t="shared" si="19"/>
        <v>161081.22</v>
      </c>
      <c r="I75" s="20">
        <f t="shared" si="20"/>
        <v>-1610.81</v>
      </c>
      <c r="J75" s="20">
        <f t="shared" si="21"/>
        <v>-1610.81</v>
      </c>
      <c r="K75" s="20">
        <f t="shared" si="15"/>
        <v>-4832.44</v>
      </c>
      <c r="L75" s="21">
        <v>-17750</v>
      </c>
      <c r="M75" s="16">
        <f t="shared" si="16"/>
        <v>135277.16</v>
      </c>
      <c r="N75" s="8">
        <f t="shared" si="17"/>
        <v>136887.97</v>
      </c>
    </row>
    <row r="76" spans="1:14" ht="12.75">
      <c r="A76" s="16" t="s">
        <v>32</v>
      </c>
      <c r="B76" s="16" t="s">
        <v>34</v>
      </c>
      <c r="C76" s="10"/>
      <c r="D76" s="25">
        <v>249.9</v>
      </c>
      <c r="E76" s="25"/>
      <c r="F76" s="26">
        <v>6686.18</v>
      </c>
      <c r="G76" s="19">
        <f t="shared" si="18"/>
        <v>1670876.382</v>
      </c>
      <c r="H76" s="20">
        <f t="shared" si="19"/>
        <v>139239.7</v>
      </c>
      <c r="I76" s="20">
        <f t="shared" si="20"/>
        <v>-1392.4</v>
      </c>
      <c r="J76" s="20">
        <f t="shared" si="21"/>
        <v>-1392.4</v>
      </c>
      <c r="K76" s="20">
        <f t="shared" si="15"/>
        <v>-4177.19</v>
      </c>
      <c r="L76" s="21"/>
      <c r="M76" s="16">
        <f t="shared" si="16"/>
        <v>132277.71000000002</v>
      </c>
      <c r="N76" s="8">
        <f t="shared" si="17"/>
        <v>133670.11</v>
      </c>
    </row>
    <row r="77" spans="1:14" ht="12.75">
      <c r="A77" s="16" t="s">
        <v>32</v>
      </c>
      <c r="B77" s="27" t="s">
        <v>35</v>
      </c>
      <c r="C77" s="8"/>
      <c r="D77" s="28">
        <v>115</v>
      </c>
      <c r="E77" s="28"/>
      <c r="F77" s="26">
        <v>6686.18</v>
      </c>
      <c r="G77" s="19">
        <f t="shared" si="18"/>
        <v>768910.7</v>
      </c>
      <c r="H77" s="20">
        <f t="shared" si="19"/>
        <v>64075.89</v>
      </c>
      <c r="I77" s="20">
        <f t="shared" si="20"/>
        <v>-640.76</v>
      </c>
      <c r="J77" s="20">
        <f t="shared" si="21"/>
        <v>-640.76</v>
      </c>
      <c r="K77" s="20">
        <f t="shared" si="15"/>
        <v>-1922.28</v>
      </c>
      <c r="L77" s="21"/>
      <c r="M77" s="16">
        <f t="shared" si="16"/>
        <v>60872.09</v>
      </c>
      <c r="N77" s="8">
        <f t="shared" si="17"/>
        <v>61512.85</v>
      </c>
    </row>
    <row r="78" spans="1:14" ht="12.75">
      <c r="A78" s="16" t="s">
        <v>32</v>
      </c>
      <c r="B78" s="16" t="s">
        <v>36</v>
      </c>
      <c r="C78" s="8"/>
      <c r="D78" s="25">
        <v>407.3</v>
      </c>
      <c r="E78" s="25"/>
      <c r="F78" s="26">
        <v>6686.18</v>
      </c>
      <c r="G78" s="19">
        <f t="shared" si="18"/>
        <v>2723281.114</v>
      </c>
      <c r="H78" s="20">
        <f t="shared" si="19"/>
        <v>226940.09</v>
      </c>
      <c r="I78" s="20">
        <f t="shared" si="20"/>
        <v>-2269.4</v>
      </c>
      <c r="J78" s="20">
        <f t="shared" si="21"/>
        <v>-2269.4</v>
      </c>
      <c r="K78" s="20">
        <f t="shared" si="15"/>
        <v>-6808.2</v>
      </c>
      <c r="L78" s="29">
        <v>-44158.75</v>
      </c>
      <c r="M78" s="16">
        <f t="shared" si="16"/>
        <v>171434.34</v>
      </c>
      <c r="N78" s="8">
        <f t="shared" si="17"/>
        <v>173703.74</v>
      </c>
    </row>
    <row r="79" spans="1:14" ht="12.75">
      <c r="A79" s="16" t="s">
        <v>32</v>
      </c>
      <c r="B79" s="16" t="s">
        <v>37</v>
      </c>
      <c r="C79" s="8"/>
      <c r="D79" s="25">
        <v>450</v>
      </c>
      <c r="E79" s="25"/>
      <c r="F79" s="26">
        <v>6686.18</v>
      </c>
      <c r="G79" s="19">
        <f t="shared" si="18"/>
        <v>3008781</v>
      </c>
      <c r="H79" s="20">
        <f t="shared" si="19"/>
        <v>250731.75</v>
      </c>
      <c r="I79" s="20">
        <f t="shared" si="20"/>
        <v>-2507.32</v>
      </c>
      <c r="J79" s="20">
        <f t="shared" si="21"/>
        <v>-2507.32</v>
      </c>
      <c r="K79" s="20">
        <f t="shared" si="15"/>
        <v>-7521.95</v>
      </c>
      <c r="L79" s="21"/>
      <c r="M79" s="16">
        <f t="shared" si="16"/>
        <v>238195.15999999997</v>
      </c>
      <c r="N79" s="8">
        <f t="shared" si="17"/>
        <v>240702.48</v>
      </c>
    </row>
    <row r="80" spans="1:14" ht="12.75">
      <c r="A80" s="16" t="s">
        <v>32</v>
      </c>
      <c r="B80" s="16" t="s">
        <v>38</v>
      </c>
      <c r="C80" s="8"/>
      <c r="D80" s="25">
        <v>335</v>
      </c>
      <c r="E80" s="25"/>
      <c r="F80" s="26">
        <v>6686.18</v>
      </c>
      <c r="G80" s="19">
        <f t="shared" si="18"/>
        <v>2239870.3</v>
      </c>
      <c r="H80" s="20">
        <f t="shared" si="19"/>
        <v>186655.86</v>
      </c>
      <c r="I80" s="20">
        <f t="shared" si="20"/>
        <v>-1866.56</v>
      </c>
      <c r="J80" s="20">
        <f t="shared" si="21"/>
        <v>-1866.56</v>
      </c>
      <c r="K80" s="20">
        <f t="shared" si="15"/>
        <v>-5599.68</v>
      </c>
      <c r="L80" s="21"/>
      <c r="M80" s="16">
        <f t="shared" si="16"/>
        <v>177323.06</v>
      </c>
      <c r="N80" s="8">
        <f t="shared" si="17"/>
        <v>179189.62</v>
      </c>
    </row>
    <row r="81" spans="1:14" ht="12.75">
      <c r="A81" s="16" t="s">
        <v>39</v>
      </c>
      <c r="B81" s="16" t="s">
        <v>40</v>
      </c>
      <c r="C81" s="8"/>
      <c r="D81" s="25">
        <v>199.5</v>
      </c>
      <c r="E81" s="25"/>
      <c r="F81" s="26">
        <v>7082.45</v>
      </c>
      <c r="G81" s="19">
        <f t="shared" si="18"/>
        <v>1412948.775</v>
      </c>
      <c r="H81" s="20">
        <f t="shared" si="19"/>
        <v>117745.73</v>
      </c>
      <c r="I81" s="20">
        <f t="shared" si="20"/>
        <v>-1177.46</v>
      </c>
      <c r="J81" s="20">
        <f t="shared" si="21"/>
        <v>-1177.46</v>
      </c>
      <c r="K81" s="20">
        <f t="shared" si="15"/>
        <v>-3532.37</v>
      </c>
      <c r="L81" s="21"/>
      <c r="M81" s="16">
        <f t="shared" si="16"/>
        <v>111858.43999999999</v>
      </c>
      <c r="N81" s="8">
        <f t="shared" si="17"/>
        <v>113035.9</v>
      </c>
    </row>
    <row r="82" spans="1:14" ht="12.75">
      <c r="A82" s="16" t="s">
        <v>41</v>
      </c>
      <c r="B82" s="16" t="s">
        <v>42</v>
      </c>
      <c r="C82" s="8"/>
      <c r="D82" s="25">
        <v>154</v>
      </c>
      <c r="E82" s="25"/>
      <c r="F82" s="26">
        <v>6692.26</v>
      </c>
      <c r="G82" s="19">
        <f t="shared" si="18"/>
        <v>1030608.04</v>
      </c>
      <c r="H82" s="20">
        <f t="shared" si="19"/>
        <v>85884</v>
      </c>
      <c r="I82" s="20">
        <f t="shared" si="20"/>
        <v>-858.84</v>
      </c>
      <c r="J82" s="20">
        <f t="shared" si="21"/>
        <v>-858.84</v>
      </c>
      <c r="K82" s="20">
        <f t="shared" si="15"/>
        <v>-2576.52</v>
      </c>
      <c r="L82" s="21"/>
      <c r="M82" s="16">
        <f t="shared" si="16"/>
        <v>81589.8</v>
      </c>
      <c r="N82" s="8">
        <f t="shared" si="17"/>
        <v>82448.64</v>
      </c>
    </row>
    <row r="83" spans="1:14" ht="12.75">
      <c r="A83" s="16" t="s">
        <v>43</v>
      </c>
      <c r="B83" s="15" t="s">
        <v>44</v>
      </c>
      <c r="C83" s="8"/>
      <c r="D83" s="25">
        <v>344</v>
      </c>
      <c r="E83" s="25"/>
      <c r="F83" s="26">
        <v>6471.9</v>
      </c>
      <c r="G83" s="19">
        <f t="shared" si="18"/>
        <v>2226333.6</v>
      </c>
      <c r="H83" s="20">
        <f t="shared" si="19"/>
        <v>185527.8</v>
      </c>
      <c r="I83" s="20">
        <f t="shared" si="20"/>
        <v>-1855.28</v>
      </c>
      <c r="J83" s="20">
        <f t="shared" si="21"/>
        <v>-1855.28</v>
      </c>
      <c r="K83" s="20">
        <f t="shared" si="15"/>
        <v>-5565.83</v>
      </c>
      <c r="L83" s="29">
        <v>-40616.67</v>
      </c>
      <c r="M83" s="16">
        <f t="shared" si="16"/>
        <v>135634.74</v>
      </c>
      <c r="N83" s="8">
        <f t="shared" si="17"/>
        <v>137490.02</v>
      </c>
    </row>
    <row r="84" spans="1:14" ht="12.75">
      <c r="A84" s="16" t="s">
        <v>43</v>
      </c>
      <c r="B84" s="16" t="s">
        <v>45</v>
      </c>
      <c r="C84" s="8"/>
      <c r="D84" s="25">
        <v>212.5</v>
      </c>
      <c r="E84" s="34">
        <v>6471.9</v>
      </c>
      <c r="F84" s="26">
        <v>6244.85</v>
      </c>
      <c r="G84" s="19">
        <f>ROUND((D84*F84)+(12.5*2*0.08*6471.9),4)</f>
        <v>1339974.425</v>
      </c>
      <c r="H84" s="20">
        <f t="shared" si="19"/>
        <v>111664.54</v>
      </c>
      <c r="I84" s="20">
        <f>ROUND(G84*-0.01/12,2)</f>
        <v>-1116.65</v>
      </c>
      <c r="J84" s="20">
        <f>ROUND(G84*-0.01/12,2)</f>
        <v>-1116.65</v>
      </c>
      <c r="K84" s="20">
        <f t="shared" si="15"/>
        <v>-3349.94</v>
      </c>
      <c r="L84" s="14"/>
      <c r="M84" s="16">
        <f t="shared" si="16"/>
        <v>106081.3</v>
      </c>
      <c r="N84" s="8">
        <f t="shared" si="17"/>
        <v>107197.95</v>
      </c>
    </row>
    <row r="85" spans="1:14" ht="12.75">
      <c r="A85" s="16" t="s">
        <v>43</v>
      </c>
      <c r="B85" s="16" t="s">
        <v>46</v>
      </c>
      <c r="C85" s="8"/>
      <c r="D85" s="25">
        <v>400</v>
      </c>
      <c r="E85" s="25"/>
      <c r="F85" s="26">
        <v>6244.85</v>
      </c>
      <c r="G85" s="19">
        <f>ROUND(D85*F85,4)</f>
        <v>2497940</v>
      </c>
      <c r="H85" s="20">
        <f t="shared" si="19"/>
        <v>208161.67</v>
      </c>
      <c r="I85" s="20">
        <f>ROUND(G85*-0.01/12,2)</f>
        <v>-2081.62</v>
      </c>
      <c r="J85" s="20">
        <f>ROUND(G85*-0.01/12,2)</f>
        <v>-2081.62</v>
      </c>
      <c r="K85" s="20">
        <f t="shared" si="15"/>
        <v>-6244.85</v>
      </c>
      <c r="L85" s="20"/>
      <c r="M85" s="16">
        <f t="shared" si="16"/>
        <v>197753.58000000002</v>
      </c>
      <c r="N85" s="8">
        <f t="shared" si="17"/>
        <v>199835.2</v>
      </c>
    </row>
    <row r="86" spans="1:14" ht="12.75">
      <c r="A86" s="16" t="s">
        <v>47</v>
      </c>
      <c r="B86" s="16" t="s">
        <v>48</v>
      </c>
      <c r="C86" s="8"/>
      <c r="D86" s="30">
        <v>421.3</v>
      </c>
      <c r="E86" s="15"/>
      <c r="F86" s="26">
        <v>6471.9</v>
      </c>
      <c r="G86" s="19">
        <f>ROUND(D86*F86,4)</f>
        <v>2726611.47</v>
      </c>
      <c r="H86" s="20">
        <f t="shared" si="19"/>
        <v>227217.62</v>
      </c>
      <c r="I86" s="20">
        <f>ROUND(G86*-0.01/12,2)</f>
        <v>-2272.18</v>
      </c>
      <c r="J86" s="20">
        <f>ROUND(G86*-0.01/12,2)</f>
        <v>-2272.18</v>
      </c>
      <c r="K86" s="20">
        <f t="shared" si="15"/>
        <v>-6816.53</v>
      </c>
      <c r="L86" s="20"/>
      <c r="M86" s="16">
        <f t="shared" si="16"/>
        <v>215856.73</v>
      </c>
      <c r="N86" s="8">
        <f t="shared" si="17"/>
        <v>218128.91</v>
      </c>
    </row>
    <row r="87" spans="1:14" ht="12.75">
      <c r="A87" s="8"/>
      <c r="B87" s="8"/>
      <c r="C87" s="8"/>
      <c r="D87" s="31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4:14" ht="12.75">
      <c r="D88" s="32">
        <f>SUM(D69:D87)</f>
        <v>7731.000000000001</v>
      </c>
      <c r="G88" s="1">
        <f aca="true" t="shared" si="22" ref="G88:N88">SUM(G69:G87)</f>
        <v>51011002.76999999</v>
      </c>
      <c r="H88" s="1">
        <f t="shared" si="22"/>
        <v>4250916.899999999</v>
      </c>
      <c r="I88" s="1">
        <f t="shared" si="22"/>
        <v>-42509.19</v>
      </c>
      <c r="J88" s="1">
        <f t="shared" si="22"/>
        <v>-42509.19</v>
      </c>
      <c r="K88" s="1">
        <f t="shared" si="22"/>
        <v>-127527.51999999999</v>
      </c>
      <c r="L88" s="1">
        <f t="shared" si="22"/>
        <v>-293309.76999999996</v>
      </c>
      <c r="M88" s="1">
        <f t="shared" si="22"/>
        <v>3745061.23</v>
      </c>
      <c r="N88" s="1">
        <f t="shared" si="22"/>
        <v>3787570.420000001</v>
      </c>
    </row>
    <row r="91" spans="1:14" ht="51">
      <c r="A91" s="33" t="s">
        <v>54</v>
      </c>
      <c r="B91" s="11"/>
      <c r="C91" s="11"/>
      <c r="D91" s="12" t="s">
        <v>15</v>
      </c>
      <c r="E91" s="12" t="s">
        <v>16</v>
      </c>
      <c r="F91" s="12" t="s">
        <v>17</v>
      </c>
      <c r="G91" s="12" t="s">
        <v>18</v>
      </c>
      <c r="H91" s="12" t="s">
        <v>19</v>
      </c>
      <c r="I91" s="12" t="s">
        <v>20</v>
      </c>
      <c r="J91" s="12" t="s">
        <v>53</v>
      </c>
      <c r="K91" s="12" t="s">
        <v>21</v>
      </c>
      <c r="L91" s="12" t="s">
        <v>49</v>
      </c>
      <c r="M91" s="12" t="s">
        <v>51</v>
      </c>
      <c r="N91" s="12" t="s">
        <v>22</v>
      </c>
    </row>
    <row r="92" spans="1:14" ht="12.75">
      <c r="A92" s="8"/>
      <c r="B92" s="8"/>
      <c r="C92" s="8"/>
      <c r="D92" s="13"/>
      <c r="E92" s="13"/>
      <c r="F92" s="14"/>
      <c r="G92" s="14"/>
      <c r="H92" s="14"/>
      <c r="I92" s="14"/>
      <c r="J92" s="14"/>
      <c r="K92" s="14"/>
      <c r="L92" s="14"/>
      <c r="M92" s="15"/>
      <c r="N92" s="8"/>
    </row>
    <row r="93" spans="1:14" ht="12.75">
      <c r="A93" s="16" t="s">
        <v>23</v>
      </c>
      <c r="B93" s="16" t="s">
        <v>24</v>
      </c>
      <c r="C93" s="8"/>
      <c r="D93" s="17">
        <v>1892</v>
      </c>
      <c r="E93" s="17"/>
      <c r="F93" s="18">
        <v>6677.15</v>
      </c>
      <c r="G93" s="19">
        <f>ROUND(D93*F93,4)</f>
        <v>12633167.8</v>
      </c>
      <c r="H93" s="20">
        <f>ROUND(G93/12,2)</f>
        <v>1052763.98</v>
      </c>
      <c r="I93" s="20">
        <f>ROUND(G93*-0.01/12,2)</f>
        <v>-10527.64</v>
      </c>
      <c r="J93" s="20">
        <f>ROUND(G93*-0.01/12,2)</f>
        <v>-10527.64</v>
      </c>
      <c r="K93" s="20">
        <f aca="true" t="shared" si="23" ref="K93:K110">ROUND(G93*-0.03/12,2)</f>
        <v>-31582.92</v>
      </c>
      <c r="L93" s="21">
        <v>-189658.55</v>
      </c>
      <c r="M93" s="16">
        <f aca="true" t="shared" si="24" ref="M93:M110">SUM(H93:L93)</f>
        <v>810467.23</v>
      </c>
      <c r="N93" s="8">
        <f aca="true" t="shared" si="25" ref="N93:N110">ROUND(M93+(J93*-1),2)</f>
        <v>820994.87</v>
      </c>
    </row>
    <row r="94" spans="1:14" ht="12.75">
      <c r="A94" s="16" t="s">
        <v>25</v>
      </c>
      <c r="B94" s="16" t="s">
        <v>26</v>
      </c>
      <c r="C94" s="8"/>
      <c r="D94" s="22">
        <v>455.8</v>
      </c>
      <c r="E94" s="22"/>
      <c r="F94" s="23">
        <v>6564.41</v>
      </c>
      <c r="G94" s="19">
        <f aca="true" t="shared" si="26" ref="G94:G107">ROUND(D94*F94,4)</f>
        <v>2992058.078</v>
      </c>
      <c r="H94" s="20">
        <f aca="true" t="shared" si="27" ref="H94:H110">ROUND(G94/12,2)</f>
        <v>249338.17</v>
      </c>
      <c r="I94" s="20">
        <f aca="true" t="shared" si="28" ref="I94:I107">ROUND(G94*-0.01/12,2)</f>
        <v>-2493.38</v>
      </c>
      <c r="J94" s="20">
        <f aca="true" t="shared" si="29" ref="J94:J107">ROUND(G94*-0.01/12,2)</f>
        <v>-2493.38</v>
      </c>
      <c r="K94" s="20">
        <f t="shared" si="23"/>
        <v>-7480.15</v>
      </c>
      <c r="L94" s="21">
        <v>-1084.55</v>
      </c>
      <c r="M94" s="16">
        <f t="shared" si="24"/>
        <v>235786.71000000002</v>
      </c>
      <c r="N94" s="8">
        <f t="shared" si="25"/>
        <v>238280.09</v>
      </c>
    </row>
    <row r="95" spans="1:14" ht="12.75">
      <c r="A95" s="16" t="s">
        <v>5</v>
      </c>
      <c r="B95" s="16" t="s">
        <v>27</v>
      </c>
      <c r="C95" s="10"/>
      <c r="D95" s="22">
        <v>202</v>
      </c>
      <c r="E95" s="22"/>
      <c r="F95" s="23">
        <v>7125.87</v>
      </c>
      <c r="G95" s="19">
        <f t="shared" si="26"/>
        <v>1439425.74</v>
      </c>
      <c r="H95" s="20">
        <f t="shared" si="27"/>
        <v>119952.15</v>
      </c>
      <c r="I95" s="20">
        <f t="shared" si="28"/>
        <v>-1199.52</v>
      </c>
      <c r="J95" s="20">
        <f t="shared" si="29"/>
        <v>-1199.52</v>
      </c>
      <c r="K95" s="20">
        <f t="shared" si="23"/>
        <v>-3598.56</v>
      </c>
      <c r="L95" s="21"/>
      <c r="M95" s="16">
        <f t="shared" si="24"/>
        <v>113954.54999999999</v>
      </c>
      <c r="N95" s="8">
        <f t="shared" si="25"/>
        <v>115154.07</v>
      </c>
    </row>
    <row r="96" spans="1:14" ht="12.75">
      <c r="A96" s="16" t="s">
        <v>5</v>
      </c>
      <c r="B96" s="16" t="s">
        <v>28</v>
      </c>
      <c r="C96" s="10"/>
      <c r="D96" s="22">
        <v>1200</v>
      </c>
      <c r="E96" s="22"/>
      <c r="F96" s="23">
        <v>6244.85</v>
      </c>
      <c r="G96" s="19">
        <f t="shared" si="26"/>
        <v>7493820</v>
      </c>
      <c r="H96" s="20">
        <f t="shared" si="27"/>
        <v>624485</v>
      </c>
      <c r="I96" s="20">
        <f t="shared" si="28"/>
        <v>-6244.85</v>
      </c>
      <c r="J96" s="20">
        <f t="shared" si="29"/>
        <v>-6244.85</v>
      </c>
      <c r="K96" s="20">
        <f t="shared" si="23"/>
        <v>-18734.55</v>
      </c>
      <c r="L96" s="21"/>
      <c r="M96" s="16">
        <f t="shared" si="24"/>
        <v>593260.75</v>
      </c>
      <c r="N96" s="8">
        <f t="shared" si="25"/>
        <v>599505.6</v>
      </c>
    </row>
    <row r="97" spans="1:14" ht="12.75">
      <c r="A97" s="16" t="s">
        <v>5</v>
      </c>
      <c r="B97" s="16" t="s">
        <v>29</v>
      </c>
      <c r="C97" s="7"/>
      <c r="D97" s="22">
        <v>204.8</v>
      </c>
      <c r="E97" s="22"/>
      <c r="F97" s="23">
        <v>7125.87</v>
      </c>
      <c r="G97" s="19">
        <f t="shared" si="26"/>
        <v>1459378.176</v>
      </c>
      <c r="H97" s="20">
        <f t="shared" si="27"/>
        <v>121614.85</v>
      </c>
      <c r="I97" s="20">
        <f t="shared" si="28"/>
        <v>-1216.15</v>
      </c>
      <c r="J97" s="20">
        <f t="shared" si="29"/>
        <v>-1216.15</v>
      </c>
      <c r="K97" s="20">
        <f t="shared" si="23"/>
        <v>-3648.45</v>
      </c>
      <c r="L97" s="21"/>
      <c r="M97" s="16">
        <f t="shared" si="24"/>
        <v>115534.10000000002</v>
      </c>
      <c r="N97" s="8">
        <f t="shared" si="25"/>
        <v>116750.25</v>
      </c>
    </row>
    <row r="98" spans="1:14" ht="12.75">
      <c r="A98" s="16" t="s">
        <v>30</v>
      </c>
      <c r="B98" s="16" t="s">
        <v>31</v>
      </c>
      <c r="C98" s="10"/>
      <c r="D98" s="22">
        <v>198.8</v>
      </c>
      <c r="E98" s="22"/>
      <c r="F98" s="23">
        <v>7112.89</v>
      </c>
      <c r="G98" s="19">
        <f t="shared" si="26"/>
        <v>1414042.532</v>
      </c>
      <c r="H98" s="20">
        <f t="shared" si="27"/>
        <v>117836.88</v>
      </c>
      <c r="I98" s="20">
        <f t="shared" si="28"/>
        <v>-1178.37</v>
      </c>
      <c r="J98" s="20">
        <f t="shared" si="29"/>
        <v>-1178.37</v>
      </c>
      <c r="K98" s="20">
        <f t="shared" si="23"/>
        <v>-3535.11</v>
      </c>
      <c r="L98" s="21"/>
      <c r="M98" s="16">
        <f t="shared" si="24"/>
        <v>111945.03000000001</v>
      </c>
      <c r="N98" s="8">
        <f t="shared" si="25"/>
        <v>113123.4</v>
      </c>
    </row>
    <row r="99" spans="1:14" ht="15.75" customHeight="1">
      <c r="A99" s="16" t="s">
        <v>32</v>
      </c>
      <c r="B99" s="24" t="s">
        <v>33</v>
      </c>
      <c r="C99" s="10"/>
      <c r="D99" s="25">
        <v>289.1</v>
      </c>
      <c r="E99" s="25"/>
      <c r="F99" s="26">
        <v>6686.18</v>
      </c>
      <c r="G99" s="19">
        <f t="shared" si="26"/>
        <v>1932974.638</v>
      </c>
      <c r="H99" s="20">
        <f t="shared" si="27"/>
        <v>161081.22</v>
      </c>
      <c r="I99" s="20">
        <f t="shared" si="28"/>
        <v>-1610.81</v>
      </c>
      <c r="J99" s="20">
        <f t="shared" si="29"/>
        <v>-1610.81</v>
      </c>
      <c r="K99" s="20">
        <f t="shared" si="23"/>
        <v>-4832.44</v>
      </c>
      <c r="L99" s="21">
        <v>-17750</v>
      </c>
      <c r="M99" s="16">
        <f t="shared" si="24"/>
        <v>135277.16</v>
      </c>
      <c r="N99" s="8">
        <f t="shared" si="25"/>
        <v>136887.97</v>
      </c>
    </row>
    <row r="100" spans="1:14" ht="12.75">
      <c r="A100" s="16" t="s">
        <v>32</v>
      </c>
      <c r="B100" s="16" t="s">
        <v>34</v>
      </c>
      <c r="C100" s="10"/>
      <c r="D100" s="25">
        <v>249.9</v>
      </c>
      <c r="E100" s="25"/>
      <c r="F100" s="26">
        <v>6686.18</v>
      </c>
      <c r="G100" s="19">
        <f t="shared" si="26"/>
        <v>1670876.382</v>
      </c>
      <c r="H100" s="20">
        <f t="shared" si="27"/>
        <v>139239.7</v>
      </c>
      <c r="I100" s="20">
        <f t="shared" si="28"/>
        <v>-1392.4</v>
      </c>
      <c r="J100" s="20">
        <f t="shared" si="29"/>
        <v>-1392.4</v>
      </c>
      <c r="K100" s="20">
        <f t="shared" si="23"/>
        <v>-4177.19</v>
      </c>
      <c r="L100" s="21"/>
      <c r="M100" s="16">
        <f t="shared" si="24"/>
        <v>132277.71000000002</v>
      </c>
      <c r="N100" s="8">
        <f t="shared" si="25"/>
        <v>133670.11</v>
      </c>
    </row>
    <row r="101" spans="1:14" ht="12.75">
      <c r="A101" s="16" t="s">
        <v>32</v>
      </c>
      <c r="B101" s="27" t="s">
        <v>35</v>
      </c>
      <c r="C101" s="8"/>
      <c r="D101" s="28">
        <v>115</v>
      </c>
      <c r="E101" s="28"/>
      <c r="F101" s="26">
        <v>6686.18</v>
      </c>
      <c r="G101" s="19">
        <f t="shared" si="26"/>
        <v>768910.7</v>
      </c>
      <c r="H101" s="20">
        <f t="shared" si="27"/>
        <v>64075.89</v>
      </c>
      <c r="I101" s="20">
        <f t="shared" si="28"/>
        <v>-640.76</v>
      </c>
      <c r="J101" s="20">
        <f t="shared" si="29"/>
        <v>-640.76</v>
      </c>
      <c r="K101" s="20">
        <f t="shared" si="23"/>
        <v>-1922.28</v>
      </c>
      <c r="L101" s="21"/>
      <c r="M101" s="16">
        <f t="shared" si="24"/>
        <v>60872.09</v>
      </c>
      <c r="N101" s="8">
        <f t="shared" si="25"/>
        <v>61512.85</v>
      </c>
    </row>
    <row r="102" spans="1:14" ht="12.75">
      <c r="A102" s="16" t="s">
        <v>32</v>
      </c>
      <c r="B102" s="16" t="s">
        <v>36</v>
      </c>
      <c r="C102" s="8"/>
      <c r="D102" s="25">
        <v>407.3</v>
      </c>
      <c r="E102" s="25"/>
      <c r="F102" s="26">
        <v>6686.18</v>
      </c>
      <c r="G102" s="19">
        <f t="shared" si="26"/>
        <v>2723281.114</v>
      </c>
      <c r="H102" s="20">
        <f t="shared" si="27"/>
        <v>226940.09</v>
      </c>
      <c r="I102" s="20">
        <f t="shared" si="28"/>
        <v>-2269.4</v>
      </c>
      <c r="J102" s="20">
        <f t="shared" si="29"/>
        <v>-2269.4</v>
      </c>
      <c r="K102" s="20">
        <f t="shared" si="23"/>
        <v>-6808.2</v>
      </c>
      <c r="L102" s="29">
        <v>-44158.75</v>
      </c>
      <c r="M102" s="16">
        <f t="shared" si="24"/>
        <v>171434.34</v>
      </c>
      <c r="N102" s="8">
        <f t="shared" si="25"/>
        <v>173703.74</v>
      </c>
    </row>
    <row r="103" spans="1:14" ht="12.75">
      <c r="A103" s="16" t="s">
        <v>32</v>
      </c>
      <c r="B103" s="16" t="s">
        <v>37</v>
      </c>
      <c r="C103" s="8"/>
      <c r="D103" s="25">
        <v>450</v>
      </c>
      <c r="E103" s="25"/>
      <c r="F103" s="26">
        <v>6686.18</v>
      </c>
      <c r="G103" s="19">
        <f t="shared" si="26"/>
        <v>3008781</v>
      </c>
      <c r="H103" s="20">
        <f t="shared" si="27"/>
        <v>250731.75</v>
      </c>
      <c r="I103" s="20">
        <f t="shared" si="28"/>
        <v>-2507.32</v>
      </c>
      <c r="J103" s="20">
        <f t="shared" si="29"/>
        <v>-2507.32</v>
      </c>
      <c r="K103" s="20">
        <f t="shared" si="23"/>
        <v>-7521.95</v>
      </c>
      <c r="L103" s="21"/>
      <c r="M103" s="16">
        <f t="shared" si="24"/>
        <v>238195.15999999997</v>
      </c>
      <c r="N103" s="8">
        <f t="shared" si="25"/>
        <v>240702.48</v>
      </c>
    </row>
    <row r="104" spans="1:14" ht="12.75">
      <c r="A104" s="16" t="s">
        <v>32</v>
      </c>
      <c r="B104" s="16" t="s">
        <v>38</v>
      </c>
      <c r="C104" s="8"/>
      <c r="D104" s="25">
        <v>335</v>
      </c>
      <c r="E104" s="25"/>
      <c r="F104" s="26">
        <v>6686.18</v>
      </c>
      <c r="G104" s="19">
        <f t="shared" si="26"/>
        <v>2239870.3</v>
      </c>
      <c r="H104" s="20">
        <f t="shared" si="27"/>
        <v>186655.86</v>
      </c>
      <c r="I104" s="20">
        <f t="shared" si="28"/>
        <v>-1866.56</v>
      </c>
      <c r="J104" s="20">
        <f t="shared" si="29"/>
        <v>-1866.56</v>
      </c>
      <c r="K104" s="20">
        <f t="shared" si="23"/>
        <v>-5599.68</v>
      </c>
      <c r="L104" s="21"/>
      <c r="M104" s="16">
        <f t="shared" si="24"/>
        <v>177323.06</v>
      </c>
      <c r="N104" s="8">
        <f t="shared" si="25"/>
        <v>179189.62</v>
      </c>
    </row>
    <row r="105" spans="1:14" ht="12.75">
      <c r="A105" s="16" t="s">
        <v>39</v>
      </c>
      <c r="B105" s="16" t="s">
        <v>40</v>
      </c>
      <c r="C105" s="8"/>
      <c r="D105" s="25">
        <v>199.5</v>
      </c>
      <c r="E105" s="25"/>
      <c r="F105" s="26">
        <v>7082.45</v>
      </c>
      <c r="G105" s="19">
        <f t="shared" si="26"/>
        <v>1412948.775</v>
      </c>
      <c r="H105" s="20">
        <f t="shared" si="27"/>
        <v>117745.73</v>
      </c>
      <c r="I105" s="20">
        <f t="shared" si="28"/>
        <v>-1177.46</v>
      </c>
      <c r="J105" s="20">
        <f t="shared" si="29"/>
        <v>-1177.46</v>
      </c>
      <c r="K105" s="20">
        <f t="shared" si="23"/>
        <v>-3532.37</v>
      </c>
      <c r="L105" s="21"/>
      <c r="M105" s="16">
        <f t="shared" si="24"/>
        <v>111858.43999999999</v>
      </c>
      <c r="N105" s="8">
        <f t="shared" si="25"/>
        <v>113035.9</v>
      </c>
    </row>
    <row r="106" spans="1:14" ht="12.75">
      <c r="A106" s="16" t="s">
        <v>41</v>
      </c>
      <c r="B106" s="16" t="s">
        <v>42</v>
      </c>
      <c r="C106" s="8"/>
      <c r="D106" s="25">
        <v>154</v>
      </c>
      <c r="E106" s="25"/>
      <c r="F106" s="26">
        <v>6692.26</v>
      </c>
      <c r="G106" s="19">
        <f t="shared" si="26"/>
        <v>1030608.04</v>
      </c>
      <c r="H106" s="20">
        <f t="shared" si="27"/>
        <v>85884</v>
      </c>
      <c r="I106" s="20">
        <f t="shared" si="28"/>
        <v>-858.84</v>
      </c>
      <c r="J106" s="20">
        <f t="shared" si="29"/>
        <v>-858.84</v>
      </c>
      <c r="K106" s="20">
        <f t="shared" si="23"/>
        <v>-2576.52</v>
      </c>
      <c r="L106" s="21"/>
      <c r="M106" s="16">
        <f t="shared" si="24"/>
        <v>81589.8</v>
      </c>
      <c r="N106" s="8">
        <f t="shared" si="25"/>
        <v>82448.64</v>
      </c>
    </row>
    <row r="107" spans="1:14" ht="12.75">
      <c r="A107" s="16" t="s">
        <v>43</v>
      </c>
      <c r="B107" s="15" t="s">
        <v>44</v>
      </c>
      <c r="C107" s="8"/>
      <c r="D107" s="25">
        <v>344</v>
      </c>
      <c r="E107" s="25"/>
      <c r="F107" s="26">
        <v>6471.9</v>
      </c>
      <c r="G107" s="19">
        <f t="shared" si="26"/>
        <v>2226333.6</v>
      </c>
      <c r="H107" s="20">
        <f t="shared" si="27"/>
        <v>185527.8</v>
      </c>
      <c r="I107" s="20">
        <f t="shared" si="28"/>
        <v>-1855.28</v>
      </c>
      <c r="J107" s="20">
        <f t="shared" si="29"/>
        <v>-1855.28</v>
      </c>
      <c r="K107" s="20">
        <f t="shared" si="23"/>
        <v>-5565.83</v>
      </c>
      <c r="L107" s="29">
        <v>-40616.67</v>
      </c>
      <c r="M107" s="16">
        <f t="shared" si="24"/>
        <v>135634.74</v>
      </c>
      <c r="N107" s="8">
        <f t="shared" si="25"/>
        <v>137490.02</v>
      </c>
    </row>
    <row r="108" spans="1:14" ht="12.75">
      <c r="A108" s="16" t="s">
        <v>43</v>
      </c>
      <c r="B108" s="16" t="s">
        <v>45</v>
      </c>
      <c r="C108" s="8"/>
      <c r="D108" s="25">
        <v>212.5</v>
      </c>
      <c r="E108" s="34">
        <v>6471.9</v>
      </c>
      <c r="F108" s="26">
        <v>6244.85</v>
      </c>
      <c r="G108" s="19">
        <f>ROUND((D108*F108)+(12.5*2*0.08*6471.9),4)</f>
        <v>1339974.425</v>
      </c>
      <c r="H108" s="20">
        <f t="shared" si="27"/>
        <v>111664.54</v>
      </c>
      <c r="I108" s="20">
        <f>ROUND(G108*-0.01/12,2)</f>
        <v>-1116.65</v>
      </c>
      <c r="J108" s="20">
        <f>ROUND(G108*-0.01/12,2)</f>
        <v>-1116.65</v>
      </c>
      <c r="K108" s="20">
        <f t="shared" si="23"/>
        <v>-3349.94</v>
      </c>
      <c r="L108" s="14"/>
      <c r="M108" s="16">
        <f t="shared" si="24"/>
        <v>106081.3</v>
      </c>
      <c r="N108" s="8">
        <f t="shared" si="25"/>
        <v>107197.95</v>
      </c>
    </row>
    <row r="109" spans="1:14" ht="12.75">
      <c r="A109" s="16" t="s">
        <v>43</v>
      </c>
      <c r="B109" s="16" t="s">
        <v>46</v>
      </c>
      <c r="C109" s="8"/>
      <c r="D109" s="25">
        <v>400</v>
      </c>
      <c r="E109" s="25"/>
      <c r="F109" s="26">
        <v>6244.85</v>
      </c>
      <c r="G109" s="19">
        <f>ROUND(D109*F109,4)</f>
        <v>2497940</v>
      </c>
      <c r="H109" s="20">
        <f t="shared" si="27"/>
        <v>208161.67</v>
      </c>
      <c r="I109" s="20">
        <f>ROUND(G109*-0.01/12,2)</f>
        <v>-2081.62</v>
      </c>
      <c r="J109" s="20">
        <f>ROUND(G109*-0.01/12,2)</f>
        <v>-2081.62</v>
      </c>
      <c r="K109" s="20">
        <f t="shared" si="23"/>
        <v>-6244.85</v>
      </c>
      <c r="L109" s="20"/>
      <c r="M109" s="16">
        <f t="shared" si="24"/>
        <v>197753.58000000002</v>
      </c>
      <c r="N109" s="8">
        <f t="shared" si="25"/>
        <v>199835.2</v>
      </c>
    </row>
    <row r="110" spans="1:14" ht="12.75">
      <c r="A110" s="16" t="s">
        <v>47</v>
      </c>
      <c r="B110" s="16" t="s">
        <v>48</v>
      </c>
      <c r="C110" s="8"/>
      <c r="D110" s="30">
        <v>421.3</v>
      </c>
      <c r="E110" s="15"/>
      <c r="F110" s="26">
        <v>6471.9</v>
      </c>
      <c r="G110" s="19">
        <f>ROUND(D110*F110,4)</f>
        <v>2726611.47</v>
      </c>
      <c r="H110" s="20">
        <f t="shared" si="27"/>
        <v>227217.62</v>
      </c>
      <c r="I110" s="20">
        <f>ROUND(G110*-0.01/12,2)</f>
        <v>-2272.18</v>
      </c>
      <c r="J110" s="20">
        <f>ROUND(G110*-0.01/12,2)</f>
        <v>-2272.18</v>
      </c>
      <c r="K110" s="20">
        <f t="shared" si="23"/>
        <v>-6816.53</v>
      </c>
      <c r="L110" s="20"/>
      <c r="M110" s="16">
        <f t="shared" si="24"/>
        <v>215856.73</v>
      </c>
      <c r="N110" s="8">
        <f t="shared" si="25"/>
        <v>218128.91</v>
      </c>
    </row>
    <row r="111" spans="1:14" ht="12.75">
      <c r="A111" s="8"/>
      <c r="B111" s="8"/>
      <c r="C111" s="8"/>
      <c r="D111" s="31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4:14" ht="12.75">
      <c r="D112" s="32">
        <f>SUM(D93:D111)</f>
        <v>7731.000000000001</v>
      </c>
      <c r="G112" s="1">
        <f aca="true" t="shared" si="30" ref="G112:N112">SUM(G93:G111)</f>
        <v>51011002.76999999</v>
      </c>
      <c r="H112" s="1">
        <f t="shared" si="30"/>
        <v>4250916.899999999</v>
      </c>
      <c r="I112" s="1">
        <f t="shared" si="30"/>
        <v>-42509.19</v>
      </c>
      <c r="J112" s="1">
        <f t="shared" si="30"/>
        <v>-42509.19</v>
      </c>
      <c r="K112" s="1">
        <f t="shared" si="30"/>
        <v>-127527.51999999999</v>
      </c>
      <c r="L112" s="1">
        <f t="shared" si="30"/>
        <v>-293268.51999999996</v>
      </c>
      <c r="M112" s="1">
        <f t="shared" si="30"/>
        <v>3745102.48</v>
      </c>
      <c r="N112" s="1">
        <f t="shared" si="30"/>
        <v>3787611.670000001</v>
      </c>
    </row>
    <row r="115" spans="1:14" ht="51">
      <c r="A115" s="33" t="s">
        <v>55</v>
      </c>
      <c r="B115" s="11"/>
      <c r="C115" s="11"/>
      <c r="D115" s="12" t="s">
        <v>15</v>
      </c>
      <c r="E115" s="12" t="s">
        <v>16</v>
      </c>
      <c r="F115" s="12" t="s">
        <v>17</v>
      </c>
      <c r="G115" s="12" t="s">
        <v>18</v>
      </c>
      <c r="H115" s="12" t="s">
        <v>19</v>
      </c>
      <c r="I115" s="12" t="s">
        <v>20</v>
      </c>
      <c r="J115" s="12" t="s">
        <v>53</v>
      </c>
      <c r="K115" s="12" t="s">
        <v>21</v>
      </c>
      <c r="L115" s="12" t="s">
        <v>49</v>
      </c>
      <c r="M115" s="12" t="s">
        <v>51</v>
      </c>
      <c r="N115" s="12" t="s">
        <v>22</v>
      </c>
    </row>
    <row r="116" spans="1:14" ht="12.75">
      <c r="A116" s="8"/>
      <c r="B116" s="8"/>
      <c r="C116" s="8"/>
      <c r="D116" s="13"/>
      <c r="E116" s="13"/>
      <c r="F116" s="14"/>
      <c r="G116" s="14"/>
      <c r="H116" s="14"/>
      <c r="I116" s="14"/>
      <c r="J116" s="14"/>
      <c r="K116" s="14"/>
      <c r="L116" s="14"/>
      <c r="M116" s="15"/>
      <c r="N116" s="8"/>
    </row>
    <row r="117" spans="1:14" ht="12.75">
      <c r="A117" s="16" t="s">
        <v>23</v>
      </c>
      <c r="B117" s="16" t="s">
        <v>24</v>
      </c>
      <c r="C117" s="8"/>
      <c r="D117" s="17">
        <v>1892</v>
      </c>
      <c r="E117" s="17"/>
      <c r="F117" s="18">
        <v>6677.15</v>
      </c>
      <c r="G117" s="19">
        <f>ROUND(D117*F117,4)</f>
        <v>12633167.8</v>
      </c>
      <c r="H117" s="20">
        <f>ROUND(G117/12,2)</f>
        <v>1052763.98</v>
      </c>
      <c r="I117" s="20">
        <f>ROUND(G117*-0.01/12,2)</f>
        <v>-10527.64</v>
      </c>
      <c r="J117" s="20">
        <f>ROUND(G117*-0.01/12,2)</f>
        <v>-10527.64</v>
      </c>
      <c r="K117" s="20">
        <f aca="true" t="shared" si="31" ref="K117:K134">ROUND(G117*-0.03/12,2)</f>
        <v>-31582.92</v>
      </c>
      <c r="L117" s="21">
        <v>-189658.55</v>
      </c>
      <c r="M117" s="16">
        <f aca="true" t="shared" si="32" ref="M117:M134">SUM(H117:L117)</f>
        <v>810467.23</v>
      </c>
      <c r="N117" s="8">
        <f aca="true" t="shared" si="33" ref="N117:N134">ROUND(M117+(J117*-1),2)</f>
        <v>820994.87</v>
      </c>
    </row>
    <row r="118" spans="1:14" ht="12.75">
      <c r="A118" s="16" t="s">
        <v>25</v>
      </c>
      <c r="B118" s="16" t="s">
        <v>26</v>
      </c>
      <c r="C118" s="8"/>
      <c r="D118" s="22">
        <v>455.8</v>
      </c>
      <c r="E118" s="22"/>
      <c r="F118" s="23">
        <v>6564.41</v>
      </c>
      <c r="G118" s="19">
        <f aca="true" t="shared" si="34" ref="G118:G131">ROUND(D118*F118,4)</f>
        <v>2992058.078</v>
      </c>
      <c r="H118" s="20">
        <f aca="true" t="shared" si="35" ref="H118:H134">ROUND(G118/12,2)</f>
        <v>249338.17</v>
      </c>
      <c r="I118" s="20">
        <f aca="true" t="shared" si="36" ref="I118:I131">ROUND(G118*-0.01/12,2)</f>
        <v>-2493.38</v>
      </c>
      <c r="J118" s="20">
        <f aca="true" t="shared" si="37" ref="J118:J131">ROUND(G118*-0.01/12,2)</f>
        <v>-2493.38</v>
      </c>
      <c r="K118" s="20">
        <f t="shared" si="31"/>
        <v>-7480.15</v>
      </c>
      <c r="L118" s="21">
        <v>-1084.55</v>
      </c>
      <c r="M118" s="16">
        <f t="shared" si="32"/>
        <v>235786.71000000002</v>
      </c>
      <c r="N118" s="8">
        <f t="shared" si="33"/>
        <v>238280.09</v>
      </c>
    </row>
    <row r="119" spans="1:14" ht="12.75">
      <c r="A119" s="16" t="s">
        <v>5</v>
      </c>
      <c r="B119" s="16" t="s">
        <v>27</v>
      </c>
      <c r="C119" s="10"/>
      <c r="D119" s="22">
        <v>202</v>
      </c>
      <c r="E119" s="22"/>
      <c r="F119" s="23">
        <v>7125.87</v>
      </c>
      <c r="G119" s="19">
        <f t="shared" si="34"/>
        <v>1439425.74</v>
      </c>
      <c r="H119" s="20">
        <f t="shared" si="35"/>
        <v>119952.15</v>
      </c>
      <c r="I119" s="20">
        <f t="shared" si="36"/>
        <v>-1199.52</v>
      </c>
      <c r="J119" s="20">
        <f t="shared" si="37"/>
        <v>-1199.52</v>
      </c>
      <c r="K119" s="20">
        <f t="shared" si="31"/>
        <v>-3598.56</v>
      </c>
      <c r="L119" s="21"/>
      <c r="M119" s="16">
        <f t="shared" si="32"/>
        <v>113954.54999999999</v>
      </c>
      <c r="N119" s="8">
        <f t="shared" si="33"/>
        <v>115154.07</v>
      </c>
    </row>
    <row r="120" spans="1:14" ht="12.75">
      <c r="A120" s="16" t="s">
        <v>5</v>
      </c>
      <c r="B120" s="16" t="s">
        <v>28</v>
      </c>
      <c r="C120" s="10"/>
      <c r="D120" s="22">
        <v>1200</v>
      </c>
      <c r="E120" s="22"/>
      <c r="F120" s="23">
        <v>6244.85</v>
      </c>
      <c r="G120" s="19">
        <f t="shared" si="34"/>
        <v>7493820</v>
      </c>
      <c r="H120" s="20">
        <f t="shared" si="35"/>
        <v>624485</v>
      </c>
      <c r="I120" s="20">
        <f t="shared" si="36"/>
        <v>-6244.85</v>
      </c>
      <c r="J120" s="20">
        <f t="shared" si="37"/>
        <v>-6244.85</v>
      </c>
      <c r="K120" s="20">
        <f t="shared" si="31"/>
        <v>-18734.55</v>
      </c>
      <c r="L120" s="21"/>
      <c r="M120" s="16">
        <f t="shared" si="32"/>
        <v>593260.75</v>
      </c>
      <c r="N120" s="8">
        <f t="shared" si="33"/>
        <v>599505.6</v>
      </c>
    </row>
    <row r="121" spans="1:14" ht="12.75">
      <c r="A121" s="16" t="s">
        <v>5</v>
      </c>
      <c r="B121" s="16" t="s">
        <v>29</v>
      </c>
      <c r="C121" s="7"/>
      <c r="D121" s="22">
        <v>204.8</v>
      </c>
      <c r="E121" s="22"/>
      <c r="F121" s="23">
        <v>7125.87</v>
      </c>
      <c r="G121" s="19">
        <f t="shared" si="34"/>
        <v>1459378.176</v>
      </c>
      <c r="H121" s="20">
        <f t="shared" si="35"/>
        <v>121614.85</v>
      </c>
      <c r="I121" s="20">
        <f t="shared" si="36"/>
        <v>-1216.15</v>
      </c>
      <c r="J121" s="20">
        <f t="shared" si="37"/>
        <v>-1216.15</v>
      </c>
      <c r="K121" s="20">
        <f t="shared" si="31"/>
        <v>-3648.45</v>
      </c>
      <c r="L121" s="21"/>
      <c r="M121" s="16">
        <f t="shared" si="32"/>
        <v>115534.10000000002</v>
      </c>
      <c r="N121" s="8">
        <f t="shared" si="33"/>
        <v>116750.25</v>
      </c>
    </row>
    <row r="122" spans="1:14" ht="12.75">
      <c r="A122" s="16" t="s">
        <v>30</v>
      </c>
      <c r="B122" s="16" t="s">
        <v>31</v>
      </c>
      <c r="C122" s="10"/>
      <c r="D122" s="22">
        <v>198.8</v>
      </c>
      <c r="E122" s="22"/>
      <c r="F122" s="23">
        <v>7112.89</v>
      </c>
      <c r="G122" s="19">
        <f t="shared" si="34"/>
        <v>1414042.532</v>
      </c>
      <c r="H122" s="20">
        <f t="shared" si="35"/>
        <v>117836.88</v>
      </c>
      <c r="I122" s="20">
        <f t="shared" si="36"/>
        <v>-1178.37</v>
      </c>
      <c r="J122" s="20">
        <f t="shared" si="37"/>
        <v>-1178.37</v>
      </c>
      <c r="K122" s="20">
        <f t="shared" si="31"/>
        <v>-3535.11</v>
      </c>
      <c r="L122" s="21"/>
      <c r="M122" s="16">
        <f t="shared" si="32"/>
        <v>111945.03000000001</v>
      </c>
      <c r="N122" s="8">
        <f t="shared" si="33"/>
        <v>113123.4</v>
      </c>
    </row>
    <row r="123" spans="1:14" ht="15.75" customHeight="1">
      <c r="A123" s="16" t="s">
        <v>32</v>
      </c>
      <c r="B123" s="24" t="s">
        <v>33</v>
      </c>
      <c r="C123" s="10"/>
      <c r="D123" s="25">
        <v>289.1</v>
      </c>
      <c r="E123" s="25"/>
      <c r="F123" s="26">
        <v>6686.18</v>
      </c>
      <c r="G123" s="19">
        <f t="shared" si="34"/>
        <v>1932974.638</v>
      </c>
      <c r="H123" s="20">
        <f t="shared" si="35"/>
        <v>161081.22</v>
      </c>
      <c r="I123" s="20">
        <f t="shared" si="36"/>
        <v>-1610.81</v>
      </c>
      <c r="J123" s="20">
        <f t="shared" si="37"/>
        <v>-1610.81</v>
      </c>
      <c r="K123" s="20">
        <f t="shared" si="31"/>
        <v>-4832.44</v>
      </c>
      <c r="L123" s="21">
        <v>-17750</v>
      </c>
      <c r="M123" s="16">
        <f t="shared" si="32"/>
        <v>135277.16</v>
      </c>
      <c r="N123" s="8">
        <f t="shared" si="33"/>
        <v>136887.97</v>
      </c>
    </row>
    <row r="124" spans="1:14" ht="12.75">
      <c r="A124" s="16" t="s">
        <v>32</v>
      </c>
      <c r="B124" s="16" t="s">
        <v>34</v>
      </c>
      <c r="C124" s="10"/>
      <c r="D124" s="25">
        <v>249.9</v>
      </c>
      <c r="E124" s="25"/>
      <c r="F124" s="26">
        <v>6686.18</v>
      </c>
      <c r="G124" s="19">
        <f t="shared" si="34"/>
        <v>1670876.382</v>
      </c>
      <c r="H124" s="20">
        <f t="shared" si="35"/>
        <v>139239.7</v>
      </c>
      <c r="I124" s="20">
        <f t="shared" si="36"/>
        <v>-1392.4</v>
      </c>
      <c r="J124" s="20">
        <f t="shared" si="37"/>
        <v>-1392.4</v>
      </c>
      <c r="K124" s="20">
        <f t="shared" si="31"/>
        <v>-4177.19</v>
      </c>
      <c r="L124" s="21"/>
      <c r="M124" s="16">
        <f t="shared" si="32"/>
        <v>132277.71000000002</v>
      </c>
      <c r="N124" s="8">
        <f t="shared" si="33"/>
        <v>133670.11</v>
      </c>
    </row>
    <row r="125" spans="1:14" ht="12.75">
      <c r="A125" s="16" t="s">
        <v>32</v>
      </c>
      <c r="B125" s="27" t="s">
        <v>35</v>
      </c>
      <c r="C125" s="10"/>
      <c r="D125" s="28">
        <v>115</v>
      </c>
      <c r="E125" s="28"/>
      <c r="F125" s="26">
        <v>6686.18</v>
      </c>
      <c r="G125" s="19">
        <f t="shared" si="34"/>
        <v>768910.7</v>
      </c>
      <c r="H125" s="20">
        <f t="shared" si="35"/>
        <v>64075.89</v>
      </c>
      <c r="I125" s="20">
        <f t="shared" si="36"/>
        <v>-640.76</v>
      </c>
      <c r="J125" s="20">
        <f t="shared" si="37"/>
        <v>-640.76</v>
      </c>
      <c r="K125" s="20">
        <f t="shared" si="31"/>
        <v>-1922.28</v>
      </c>
      <c r="L125" s="21"/>
      <c r="M125" s="16">
        <f t="shared" si="32"/>
        <v>60872.09</v>
      </c>
      <c r="N125" s="8">
        <f t="shared" si="33"/>
        <v>61512.85</v>
      </c>
    </row>
    <row r="126" spans="1:14" ht="12.75">
      <c r="A126" s="16" t="s">
        <v>32</v>
      </c>
      <c r="B126" s="16" t="s">
        <v>36</v>
      </c>
      <c r="C126" s="8"/>
      <c r="D126" s="25">
        <v>407.3</v>
      </c>
      <c r="E126" s="25"/>
      <c r="F126" s="26">
        <v>6686.18</v>
      </c>
      <c r="G126" s="19">
        <f t="shared" si="34"/>
        <v>2723281.114</v>
      </c>
      <c r="H126" s="20">
        <f t="shared" si="35"/>
        <v>226940.09</v>
      </c>
      <c r="I126" s="20">
        <f t="shared" si="36"/>
        <v>-2269.4</v>
      </c>
      <c r="J126" s="20">
        <f t="shared" si="37"/>
        <v>-2269.4</v>
      </c>
      <c r="K126" s="20">
        <f t="shared" si="31"/>
        <v>-6808.2</v>
      </c>
      <c r="L126" s="29">
        <v>-44158.75</v>
      </c>
      <c r="M126" s="16">
        <f t="shared" si="32"/>
        <v>171434.34</v>
      </c>
      <c r="N126" s="8">
        <f t="shared" si="33"/>
        <v>173703.74</v>
      </c>
    </row>
    <row r="127" spans="1:14" ht="12.75">
      <c r="A127" s="16" t="s">
        <v>32</v>
      </c>
      <c r="B127" s="16" t="s">
        <v>37</v>
      </c>
      <c r="C127" s="10"/>
      <c r="D127" s="25">
        <v>450</v>
      </c>
      <c r="E127" s="25"/>
      <c r="F127" s="26">
        <v>6686.18</v>
      </c>
      <c r="G127" s="19">
        <f t="shared" si="34"/>
        <v>3008781</v>
      </c>
      <c r="H127" s="20">
        <f t="shared" si="35"/>
        <v>250731.75</v>
      </c>
      <c r="I127" s="20">
        <f t="shared" si="36"/>
        <v>-2507.32</v>
      </c>
      <c r="J127" s="20">
        <f t="shared" si="37"/>
        <v>-2507.32</v>
      </c>
      <c r="K127" s="20">
        <f t="shared" si="31"/>
        <v>-7521.95</v>
      </c>
      <c r="L127" s="21"/>
      <c r="M127" s="16">
        <f t="shared" si="32"/>
        <v>238195.15999999997</v>
      </c>
      <c r="N127" s="8">
        <f t="shared" si="33"/>
        <v>240702.48</v>
      </c>
    </row>
    <row r="128" spans="1:14" ht="12.75">
      <c r="A128" s="16" t="s">
        <v>32</v>
      </c>
      <c r="B128" s="16" t="s">
        <v>38</v>
      </c>
      <c r="C128" s="10"/>
      <c r="D128" s="25">
        <v>335</v>
      </c>
      <c r="E128" s="25"/>
      <c r="F128" s="26">
        <v>6686.18</v>
      </c>
      <c r="G128" s="19">
        <f t="shared" si="34"/>
        <v>2239870.3</v>
      </c>
      <c r="H128" s="20">
        <f t="shared" si="35"/>
        <v>186655.86</v>
      </c>
      <c r="I128" s="20">
        <f t="shared" si="36"/>
        <v>-1866.56</v>
      </c>
      <c r="J128" s="20">
        <f t="shared" si="37"/>
        <v>-1866.56</v>
      </c>
      <c r="K128" s="20">
        <f t="shared" si="31"/>
        <v>-5599.68</v>
      </c>
      <c r="L128" s="21"/>
      <c r="M128" s="16">
        <f t="shared" si="32"/>
        <v>177323.06</v>
      </c>
      <c r="N128" s="8">
        <f t="shared" si="33"/>
        <v>179189.62</v>
      </c>
    </row>
    <row r="129" spans="1:14" ht="12.75">
      <c r="A129" s="16" t="s">
        <v>39</v>
      </c>
      <c r="B129" s="16" t="s">
        <v>40</v>
      </c>
      <c r="C129" s="8"/>
      <c r="D129" s="25">
        <v>199.5</v>
      </c>
      <c r="E129" s="25"/>
      <c r="F129" s="26">
        <v>7082.45</v>
      </c>
      <c r="G129" s="19">
        <f t="shared" si="34"/>
        <v>1412948.775</v>
      </c>
      <c r="H129" s="20">
        <f t="shared" si="35"/>
        <v>117745.73</v>
      </c>
      <c r="I129" s="20">
        <f t="shared" si="36"/>
        <v>-1177.46</v>
      </c>
      <c r="J129" s="20">
        <f t="shared" si="37"/>
        <v>-1177.46</v>
      </c>
      <c r="K129" s="20">
        <f t="shared" si="31"/>
        <v>-3532.37</v>
      </c>
      <c r="L129" s="21"/>
      <c r="M129" s="16">
        <f t="shared" si="32"/>
        <v>111858.43999999999</v>
      </c>
      <c r="N129" s="8">
        <f t="shared" si="33"/>
        <v>113035.9</v>
      </c>
    </row>
    <row r="130" spans="1:14" ht="12.75">
      <c r="A130" s="16" t="s">
        <v>41</v>
      </c>
      <c r="B130" s="16" t="s">
        <v>42</v>
      </c>
      <c r="C130" s="8"/>
      <c r="D130" s="25">
        <v>154</v>
      </c>
      <c r="E130" s="25"/>
      <c r="F130" s="26">
        <v>6692.26</v>
      </c>
      <c r="G130" s="19">
        <f t="shared" si="34"/>
        <v>1030608.04</v>
      </c>
      <c r="H130" s="20">
        <f t="shared" si="35"/>
        <v>85884</v>
      </c>
      <c r="I130" s="20">
        <f t="shared" si="36"/>
        <v>-858.84</v>
      </c>
      <c r="J130" s="20">
        <f t="shared" si="37"/>
        <v>-858.84</v>
      </c>
      <c r="K130" s="20">
        <f t="shared" si="31"/>
        <v>-2576.52</v>
      </c>
      <c r="L130" s="21"/>
      <c r="M130" s="16">
        <f t="shared" si="32"/>
        <v>81589.8</v>
      </c>
      <c r="N130" s="8">
        <f t="shared" si="33"/>
        <v>82448.64</v>
      </c>
    </row>
    <row r="131" spans="1:14" ht="12.75">
      <c r="A131" s="16" t="s">
        <v>43</v>
      </c>
      <c r="B131" s="15" t="s">
        <v>44</v>
      </c>
      <c r="C131" s="8"/>
      <c r="D131" s="25">
        <v>344</v>
      </c>
      <c r="E131" s="25"/>
      <c r="F131" s="26">
        <v>6471.9</v>
      </c>
      <c r="G131" s="19">
        <f t="shared" si="34"/>
        <v>2226333.6</v>
      </c>
      <c r="H131" s="20">
        <f t="shared" si="35"/>
        <v>185527.8</v>
      </c>
      <c r="I131" s="20">
        <f t="shared" si="36"/>
        <v>-1855.28</v>
      </c>
      <c r="J131" s="20">
        <f t="shared" si="37"/>
        <v>-1855.28</v>
      </c>
      <c r="K131" s="20">
        <f t="shared" si="31"/>
        <v>-5565.83</v>
      </c>
      <c r="L131" s="29">
        <v>-40616.67</v>
      </c>
      <c r="M131" s="16">
        <f t="shared" si="32"/>
        <v>135634.74</v>
      </c>
      <c r="N131" s="8">
        <f t="shared" si="33"/>
        <v>137490.02</v>
      </c>
    </row>
    <row r="132" spans="1:14" ht="12.75">
      <c r="A132" s="16" t="s">
        <v>43</v>
      </c>
      <c r="B132" s="16" t="s">
        <v>45</v>
      </c>
      <c r="C132" s="8"/>
      <c r="D132" s="25">
        <v>212.5</v>
      </c>
      <c r="E132" s="34">
        <v>6471.9</v>
      </c>
      <c r="F132" s="26">
        <v>6244.85</v>
      </c>
      <c r="G132" s="19">
        <f>ROUND((D132*F132)+(12.5*2*0.08*6471.9),4)</f>
        <v>1339974.425</v>
      </c>
      <c r="H132" s="20">
        <f t="shared" si="35"/>
        <v>111664.54</v>
      </c>
      <c r="I132" s="20">
        <f>ROUND(G132*-0.01/12,2)</f>
        <v>-1116.65</v>
      </c>
      <c r="J132" s="20">
        <f>ROUND(G132*-0.01/12,2)</f>
        <v>-1116.65</v>
      </c>
      <c r="K132" s="20">
        <f t="shared" si="31"/>
        <v>-3349.94</v>
      </c>
      <c r="L132" s="14"/>
      <c r="M132" s="16">
        <f t="shared" si="32"/>
        <v>106081.3</v>
      </c>
      <c r="N132" s="8">
        <f t="shared" si="33"/>
        <v>107197.95</v>
      </c>
    </row>
    <row r="133" spans="1:14" ht="12.75">
      <c r="A133" s="16" t="s">
        <v>43</v>
      </c>
      <c r="B133" s="16" t="s">
        <v>46</v>
      </c>
      <c r="C133" s="8"/>
      <c r="D133" s="25">
        <v>400</v>
      </c>
      <c r="E133" s="25"/>
      <c r="F133" s="26">
        <v>6244.85</v>
      </c>
      <c r="G133" s="19">
        <f>ROUND(D133*F133,4)</f>
        <v>2497940</v>
      </c>
      <c r="H133" s="20">
        <f t="shared" si="35"/>
        <v>208161.67</v>
      </c>
      <c r="I133" s="20">
        <f>ROUND(G133*-0.01/12,2)</f>
        <v>-2081.62</v>
      </c>
      <c r="J133" s="20">
        <f>ROUND(G133*-0.01/12,2)</f>
        <v>-2081.62</v>
      </c>
      <c r="K133" s="20">
        <f t="shared" si="31"/>
        <v>-6244.85</v>
      </c>
      <c r="L133" s="20"/>
      <c r="M133" s="16">
        <f t="shared" si="32"/>
        <v>197753.58000000002</v>
      </c>
      <c r="N133" s="8">
        <f t="shared" si="33"/>
        <v>199835.2</v>
      </c>
    </row>
    <row r="134" spans="1:14" ht="12.75">
      <c r="A134" s="16" t="s">
        <v>47</v>
      </c>
      <c r="B134" s="16" t="s">
        <v>48</v>
      </c>
      <c r="C134" s="8"/>
      <c r="D134" s="30">
        <v>421.3</v>
      </c>
      <c r="E134" s="15"/>
      <c r="F134" s="26">
        <v>6471.9</v>
      </c>
      <c r="G134" s="19">
        <f>ROUND(D134*F134,4)</f>
        <v>2726611.47</v>
      </c>
      <c r="H134" s="20">
        <f t="shared" si="35"/>
        <v>227217.62</v>
      </c>
      <c r="I134" s="20">
        <f>ROUND(G134*-0.01/12,2)</f>
        <v>-2272.18</v>
      </c>
      <c r="J134" s="20">
        <f>ROUND(G134*-0.01/12,2)</f>
        <v>-2272.18</v>
      </c>
      <c r="K134" s="20">
        <f t="shared" si="31"/>
        <v>-6816.53</v>
      </c>
      <c r="L134" s="20"/>
      <c r="M134" s="16">
        <f t="shared" si="32"/>
        <v>215856.73</v>
      </c>
      <c r="N134" s="8">
        <f t="shared" si="33"/>
        <v>218128.91</v>
      </c>
    </row>
    <row r="135" spans="1:14" ht="12.75">
      <c r="A135" s="8"/>
      <c r="B135" s="8"/>
      <c r="C135" s="8"/>
      <c r="D135" s="31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4:14" ht="12.75">
      <c r="D136" s="32">
        <f>SUM(D117:D135)</f>
        <v>7731.000000000001</v>
      </c>
      <c r="G136" s="1">
        <f aca="true" t="shared" si="38" ref="G136:N136">SUM(G117:G135)</f>
        <v>51011002.76999999</v>
      </c>
      <c r="H136" s="1">
        <f t="shared" si="38"/>
        <v>4250916.899999999</v>
      </c>
      <c r="I136" s="1">
        <f t="shared" si="38"/>
        <v>-42509.19</v>
      </c>
      <c r="J136" s="1">
        <f t="shared" si="38"/>
        <v>-42509.19</v>
      </c>
      <c r="K136" s="1">
        <f t="shared" si="38"/>
        <v>-127527.51999999999</v>
      </c>
      <c r="L136" s="1">
        <f t="shared" si="38"/>
        <v>-293268.51999999996</v>
      </c>
      <c r="M136" s="1">
        <f t="shared" si="38"/>
        <v>3745102.48</v>
      </c>
      <c r="N136" s="1">
        <f t="shared" si="38"/>
        <v>3787611.670000001</v>
      </c>
    </row>
    <row r="139" spans="1:14" ht="51">
      <c r="A139" s="33" t="s">
        <v>57</v>
      </c>
      <c r="B139" s="11"/>
      <c r="C139" s="11"/>
      <c r="D139" s="12" t="s">
        <v>15</v>
      </c>
      <c r="E139" s="12" t="s">
        <v>16</v>
      </c>
      <c r="F139" s="12" t="s">
        <v>17</v>
      </c>
      <c r="G139" s="12" t="s">
        <v>18</v>
      </c>
      <c r="H139" s="12" t="s">
        <v>19</v>
      </c>
      <c r="I139" s="12" t="s">
        <v>20</v>
      </c>
      <c r="J139" s="12" t="s">
        <v>53</v>
      </c>
      <c r="K139" s="12" t="s">
        <v>21</v>
      </c>
      <c r="L139" s="12" t="s">
        <v>49</v>
      </c>
      <c r="M139" s="12" t="s">
        <v>51</v>
      </c>
      <c r="N139" s="12" t="s">
        <v>22</v>
      </c>
    </row>
    <row r="140" spans="1:14" ht="12.75">
      <c r="A140" s="8"/>
      <c r="B140" s="8"/>
      <c r="C140" s="8"/>
      <c r="D140" s="13"/>
      <c r="E140" s="13"/>
      <c r="F140" s="14"/>
      <c r="G140" s="14"/>
      <c r="H140" s="14"/>
      <c r="I140" s="14"/>
      <c r="J140" s="14"/>
      <c r="K140" s="14"/>
      <c r="L140" s="14"/>
      <c r="M140" s="15"/>
      <c r="N140" s="8"/>
    </row>
    <row r="141" spans="1:14" ht="12.75">
      <c r="A141" s="16" t="s">
        <v>23</v>
      </c>
      <c r="B141" s="16" t="s">
        <v>24</v>
      </c>
      <c r="C141" s="8"/>
      <c r="D141" s="17">
        <v>1884.7</v>
      </c>
      <c r="E141" s="17"/>
      <c r="F141" s="18">
        <v>6666.26</v>
      </c>
      <c r="G141" s="19">
        <f>ROUND(D141*F141,4)</f>
        <v>12563900.222</v>
      </c>
      <c r="H141" s="20">
        <f>ROUND(G141/12,2)</f>
        <v>1046991.69</v>
      </c>
      <c r="I141" s="20">
        <f>ROUND(G141*-0.01/12,2)</f>
        <v>-10469.92</v>
      </c>
      <c r="J141" s="20">
        <f>ROUND(G141*-0.01/12,2)</f>
        <v>-10469.92</v>
      </c>
      <c r="K141" s="20">
        <f aca="true" t="shared" si="39" ref="K141:K158">ROUND(G141*-0.03/12,2)</f>
        <v>-31409.75</v>
      </c>
      <c r="L141" s="21">
        <v>-195421.88</v>
      </c>
      <c r="M141" s="16">
        <f aca="true" t="shared" si="40" ref="M141:M158">SUM(H141:L141)</f>
        <v>799220.2199999999</v>
      </c>
      <c r="N141" s="8">
        <f aca="true" t="shared" si="41" ref="N141:N158">ROUND(M141+(J141*-1),2)</f>
        <v>809690.14</v>
      </c>
    </row>
    <row r="142" spans="1:14" ht="12.75">
      <c r="A142" s="16" t="s">
        <v>25</v>
      </c>
      <c r="B142" s="16" t="s">
        <v>26</v>
      </c>
      <c r="C142" s="8"/>
      <c r="D142" s="22">
        <v>416.7</v>
      </c>
      <c r="E142" s="22"/>
      <c r="F142" s="23">
        <v>6543.64</v>
      </c>
      <c r="G142" s="19">
        <f aca="true" t="shared" si="42" ref="G142:G155">ROUND(D142*F142,4)</f>
        <v>2726734.788</v>
      </c>
      <c r="H142" s="20">
        <f aca="true" t="shared" si="43" ref="H142:H158">ROUND(G142/12,2)</f>
        <v>227227.9</v>
      </c>
      <c r="I142" s="20">
        <f aca="true" t="shared" si="44" ref="I142:I155">ROUND(G142*-0.01/12,2)</f>
        <v>-2272.28</v>
      </c>
      <c r="J142" s="20">
        <f aca="true" t="shared" si="45" ref="J142:J155">ROUND(G142*-0.01/12,2)</f>
        <v>-2272.28</v>
      </c>
      <c r="K142" s="20">
        <f t="shared" si="39"/>
        <v>-6816.84</v>
      </c>
      <c r="L142" s="21">
        <v>-1084.55</v>
      </c>
      <c r="M142" s="16">
        <f t="shared" si="40"/>
        <v>214781.95</v>
      </c>
      <c r="N142" s="8">
        <f t="shared" si="41"/>
        <v>217054.23</v>
      </c>
    </row>
    <row r="143" spans="1:14" ht="12.75">
      <c r="A143" s="16" t="s">
        <v>5</v>
      </c>
      <c r="B143" s="16" t="s">
        <v>27</v>
      </c>
      <c r="C143" s="10"/>
      <c r="D143" s="22">
        <v>191</v>
      </c>
      <c r="E143" s="22"/>
      <c r="F143" s="23">
        <v>7171.29</v>
      </c>
      <c r="G143" s="19">
        <f t="shared" si="42"/>
        <v>1369716.39</v>
      </c>
      <c r="H143" s="20">
        <f t="shared" si="43"/>
        <v>114143.03</v>
      </c>
      <c r="I143" s="20">
        <f t="shared" si="44"/>
        <v>-1141.43</v>
      </c>
      <c r="J143" s="20">
        <f t="shared" si="45"/>
        <v>-1141.43</v>
      </c>
      <c r="K143" s="20">
        <f t="shared" si="39"/>
        <v>-3424.29</v>
      </c>
      <c r="L143" s="21"/>
      <c r="M143" s="16">
        <f t="shared" si="40"/>
        <v>108435.88000000002</v>
      </c>
      <c r="N143" s="8">
        <f t="shared" si="41"/>
        <v>109577.31</v>
      </c>
    </row>
    <row r="144" spans="1:14" ht="12.75">
      <c r="A144" s="16" t="s">
        <v>5</v>
      </c>
      <c r="B144" s="16" t="s">
        <v>28</v>
      </c>
      <c r="C144" s="10"/>
      <c r="D144" s="22">
        <v>1343.5</v>
      </c>
      <c r="E144" s="22"/>
      <c r="F144" s="23">
        <v>6227.67</v>
      </c>
      <c r="G144" s="19">
        <f t="shared" si="42"/>
        <v>8366874.645</v>
      </c>
      <c r="H144" s="20">
        <f t="shared" si="43"/>
        <v>697239.55</v>
      </c>
      <c r="I144" s="20">
        <f t="shared" si="44"/>
        <v>-6972.4</v>
      </c>
      <c r="J144" s="20">
        <f t="shared" si="45"/>
        <v>-6972.4</v>
      </c>
      <c r="K144" s="20">
        <f t="shared" si="39"/>
        <v>-20917.19</v>
      </c>
      <c r="L144" s="21"/>
      <c r="M144" s="16">
        <f t="shared" si="40"/>
        <v>662377.56</v>
      </c>
      <c r="N144" s="8">
        <f t="shared" si="41"/>
        <v>669349.96</v>
      </c>
    </row>
    <row r="145" spans="1:14" ht="12.75">
      <c r="A145" s="16" t="s">
        <v>5</v>
      </c>
      <c r="B145" s="16" t="s">
        <v>29</v>
      </c>
      <c r="C145" s="7"/>
      <c r="D145" s="22">
        <v>236.4</v>
      </c>
      <c r="E145" s="22"/>
      <c r="F145" s="23">
        <v>7171.29</v>
      </c>
      <c r="G145" s="19">
        <f t="shared" si="42"/>
        <v>1695292.956</v>
      </c>
      <c r="H145" s="20">
        <f t="shared" si="43"/>
        <v>141274.41</v>
      </c>
      <c r="I145" s="20">
        <f t="shared" si="44"/>
        <v>-1412.74</v>
      </c>
      <c r="J145" s="20">
        <f t="shared" si="45"/>
        <v>-1412.74</v>
      </c>
      <c r="K145" s="20">
        <f t="shared" si="39"/>
        <v>-4238.23</v>
      </c>
      <c r="L145" s="21"/>
      <c r="M145" s="16">
        <f t="shared" si="40"/>
        <v>134210.7</v>
      </c>
      <c r="N145" s="8">
        <f t="shared" si="41"/>
        <v>135623.44</v>
      </c>
    </row>
    <row r="146" spans="1:14" ht="12.75">
      <c r="A146" s="16" t="s">
        <v>30</v>
      </c>
      <c r="B146" s="16" t="s">
        <v>31</v>
      </c>
      <c r="C146" s="10"/>
      <c r="D146" s="22">
        <v>193.2</v>
      </c>
      <c r="E146" s="22"/>
      <c r="F146" s="23">
        <v>7098.45</v>
      </c>
      <c r="G146" s="19">
        <f t="shared" si="42"/>
        <v>1371420.54</v>
      </c>
      <c r="H146" s="20">
        <f t="shared" si="43"/>
        <v>114285.05</v>
      </c>
      <c r="I146" s="20">
        <f t="shared" si="44"/>
        <v>-1142.85</v>
      </c>
      <c r="J146" s="20">
        <f t="shared" si="45"/>
        <v>-1142.85</v>
      </c>
      <c r="K146" s="20">
        <f t="shared" si="39"/>
        <v>-3428.55</v>
      </c>
      <c r="L146" s="21"/>
      <c r="M146" s="16">
        <f t="shared" si="40"/>
        <v>108570.79999999999</v>
      </c>
      <c r="N146" s="8">
        <f t="shared" si="41"/>
        <v>109713.65</v>
      </c>
    </row>
    <row r="147" spans="1:14" ht="15.75" customHeight="1">
      <c r="A147" s="16" t="s">
        <v>32</v>
      </c>
      <c r="B147" s="24" t="s">
        <v>33</v>
      </c>
      <c r="C147" s="10"/>
      <c r="D147" s="25">
        <v>254.9</v>
      </c>
      <c r="E147" s="25"/>
      <c r="F147" s="26">
        <v>6663.31</v>
      </c>
      <c r="G147" s="19">
        <f t="shared" si="42"/>
        <v>1698477.719</v>
      </c>
      <c r="H147" s="20">
        <f t="shared" si="43"/>
        <v>141539.81</v>
      </c>
      <c r="I147" s="20">
        <f t="shared" si="44"/>
        <v>-1415.4</v>
      </c>
      <c r="J147" s="20">
        <f t="shared" si="45"/>
        <v>-1415.4</v>
      </c>
      <c r="K147" s="20">
        <f t="shared" si="39"/>
        <v>-4246.19</v>
      </c>
      <c r="L147" s="21">
        <v>-17750</v>
      </c>
      <c r="M147" s="16">
        <f t="shared" si="40"/>
        <v>116712.82</v>
      </c>
      <c r="N147" s="8">
        <f t="shared" si="41"/>
        <v>118128.22</v>
      </c>
    </row>
    <row r="148" spans="1:14" ht="12.75">
      <c r="A148" s="16" t="s">
        <v>32</v>
      </c>
      <c r="B148" s="16" t="s">
        <v>34</v>
      </c>
      <c r="C148" s="10"/>
      <c r="D148" s="25">
        <v>214.5</v>
      </c>
      <c r="E148" s="25"/>
      <c r="F148" s="26">
        <v>6663.31</v>
      </c>
      <c r="G148" s="19">
        <f t="shared" si="42"/>
        <v>1429279.995</v>
      </c>
      <c r="H148" s="20">
        <f t="shared" si="43"/>
        <v>119106.67</v>
      </c>
      <c r="I148" s="20">
        <f t="shared" si="44"/>
        <v>-1191.07</v>
      </c>
      <c r="J148" s="20">
        <f t="shared" si="45"/>
        <v>-1191.07</v>
      </c>
      <c r="K148" s="20">
        <f t="shared" si="39"/>
        <v>-3573.2</v>
      </c>
      <c r="L148" s="21"/>
      <c r="M148" s="16">
        <f t="shared" si="40"/>
        <v>113151.32999999999</v>
      </c>
      <c r="N148" s="8">
        <f t="shared" si="41"/>
        <v>114342.4</v>
      </c>
    </row>
    <row r="149" spans="1:14" ht="12.75">
      <c r="A149" s="16" t="s">
        <v>32</v>
      </c>
      <c r="B149" s="27" t="s">
        <v>35</v>
      </c>
      <c r="C149" s="10"/>
      <c r="D149" s="28">
        <v>112</v>
      </c>
      <c r="E149" s="28"/>
      <c r="F149" s="26">
        <v>6663.31</v>
      </c>
      <c r="G149" s="19">
        <f t="shared" si="42"/>
        <v>746290.72</v>
      </c>
      <c r="H149" s="20">
        <f t="shared" si="43"/>
        <v>62190.89</v>
      </c>
      <c r="I149" s="20">
        <f t="shared" si="44"/>
        <v>-621.91</v>
      </c>
      <c r="J149" s="20">
        <f t="shared" si="45"/>
        <v>-621.91</v>
      </c>
      <c r="K149" s="20">
        <f t="shared" si="39"/>
        <v>-1865.73</v>
      </c>
      <c r="L149" s="21"/>
      <c r="M149" s="16">
        <f t="shared" si="40"/>
        <v>59081.33999999999</v>
      </c>
      <c r="N149" s="8">
        <f t="shared" si="41"/>
        <v>59703.25</v>
      </c>
    </row>
    <row r="150" spans="1:14" ht="12.75">
      <c r="A150" s="16" t="s">
        <v>32</v>
      </c>
      <c r="B150" s="16" t="s">
        <v>36</v>
      </c>
      <c r="C150" s="8"/>
      <c r="D150" s="25">
        <v>385.2</v>
      </c>
      <c r="E150" s="25"/>
      <c r="F150" s="26">
        <v>6663.31</v>
      </c>
      <c r="G150" s="19">
        <f t="shared" si="42"/>
        <v>2566707.012</v>
      </c>
      <c r="H150" s="20">
        <f t="shared" si="43"/>
        <v>213892.25</v>
      </c>
      <c r="I150" s="20">
        <f t="shared" si="44"/>
        <v>-2138.92</v>
      </c>
      <c r="J150" s="20">
        <f t="shared" si="45"/>
        <v>-2138.92</v>
      </c>
      <c r="K150" s="20">
        <f t="shared" si="39"/>
        <v>-6416.77</v>
      </c>
      <c r="L150" s="29">
        <v>-44158.75</v>
      </c>
      <c r="M150" s="16">
        <f t="shared" si="40"/>
        <v>159038.88999999998</v>
      </c>
      <c r="N150" s="8">
        <f t="shared" si="41"/>
        <v>161177.81</v>
      </c>
    </row>
    <row r="151" spans="1:14" ht="12.75">
      <c r="A151" s="16" t="s">
        <v>32</v>
      </c>
      <c r="B151" s="16" t="s">
        <v>37</v>
      </c>
      <c r="C151" s="10"/>
      <c r="D151" s="25">
        <v>502</v>
      </c>
      <c r="E151" s="25"/>
      <c r="F151" s="26">
        <v>6663.31</v>
      </c>
      <c r="G151" s="19">
        <f t="shared" si="42"/>
        <v>3344981.62</v>
      </c>
      <c r="H151" s="20">
        <f t="shared" si="43"/>
        <v>278748.47</v>
      </c>
      <c r="I151" s="20">
        <f t="shared" si="44"/>
        <v>-2787.48</v>
      </c>
      <c r="J151" s="20">
        <f t="shared" si="45"/>
        <v>-2787.48</v>
      </c>
      <c r="K151" s="20">
        <f t="shared" si="39"/>
        <v>-8362.45</v>
      </c>
      <c r="L151" s="21"/>
      <c r="M151" s="16">
        <f t="shared" si="40"/>
        <v>264811.06</v>
      </c>
      <c r="N151" s="8">
        <f t="shared" si="41"/>
        <v>267598.54</v>
      </c>
    </row>
    <row r="152" spans="1:14" ht="12.75">
      <c r="A152" s="16" t="s">
        <v>32</v>
      </c>
      <c r="B152" s="16" t="s">
        <v>38</v>
      </c>
      <c r="C152" s="10"/>
      <c r="D152" s="25">
        <v>305</v>
      </c>
      <c r="E152" s="25"/>
      <c r="F152" s="26">
        <v>6663.31</v>
      </c>
      <c r="G152" s="19">
        <f t="shared" si="42"/>
        <v>2032309.55</v>
      </c>
      <c r="H152" s="20">
        <f t="shared" si="43"/>
        <v>169359.13</v>
      </c>
      <c r="I152" s="20">
        <f t="shared" si="44"/>
        <v>-1693.59</v>
      </c>
      <c r="J152" s="20">
        <f t="shared" si="45"/>
        <v>-1693.59</v>
      </c>
      <c r="K152" s="20">
        <f t="shared" si="39"/>
        <v>-5080.77</v>
      </c>
      <c r="L152" s="21"/>
      <c r="M152" s="16">
        <f t="shared" si="40"/>
        <v>160891.18000000002</v>
      </c>
      <c r="N152" s="8">
        <f t="shared" si="41"/>
        <v>162584.77</v>
      </c>
    </row>
    <row r="153" spans="1:14" ht="12.75">
      <c r="A153" s="16" t="s">
        <v>39</v>
      </c>
      <c r="B153" s="16" t="s">
        <v>40</v>
      </c>
      <c r="C153" s="8"/>
      <c r="D153" s="25">
        <v>189.3</v>
      </c>
      <c r="E153" s="25"/>
      <c r="F153" s="26">
        <v>7050.1</v>
      </c>
      <c r="G153" s="19">
        <f t="shared" si="42"/>
        <v>1334583.93</v>
      </c>
      <c r="H153" s="20">
        <f t="shared" si="43"/>
        <v>111215.33</v>
      </c>
      <c r="I153" s="20">
        <f t="shared" si="44"/>
        <v>-1112.15</v>
      </c>
      <c r="J153" s="20">
        <f t="shared" si="45"/>
        <v>-1112.15</v>
      </c>
      <c r="K153" s="20">
        <f t="shared" si="39"/>
        <v>-3336.46</v>
      </c>
      <c r="L153" s="21"/>
      <c r="M153" s="16">
        <f t="shared" si="40"/>
        <v>105654.57</v>
      </c>
      <c r="N153" s="8">
        <f t="shared" si="41"/>
        <v>106766.72</v>
      </c>
    </row>
    <row r="154" spans="1:14" ht="12.75">
      <c r="A154" s="16" t="s">
        <v>41</v>
      </c>
      <c r="B154" s="16" t="s">
        <v>42</v>
      </c>
      <c r="C154" s="8"/>
      <c r="D154" s="25">
        <v>128</v>
      </c>
      <c r="E154" s="25"/>
      <c r="F154" s="26">
        <v>6691.89</v>
      </c>
      <c r="G154" s="19">
        <f t="shared" si="42"/>
        <v>856561.92</v>
      </c>
      <c r="H154" s="20">
        <f t="shared" si="43"/>
        <v>71380.16</v>
      </c>
      <c r="I154" s="20">
        <f t="shared" si="44"/>
        <v>-713.8</v>
      </c>
      <c r="J154" s="20">
        <f t="shared" si="45"/>
        <v>-713.8</v>
      </c>
      <c r="K154" s="20">
        <f t="shared" si="39"/>
        <v>-2141.4</v>
      </c>
      <c r="L154" s="21"/>
      <c r="M154" s="16">
        <f t="shared" si="40"/>
        <v>67811.16</v>
      </c>
      <c r="N154" s="8">
        <f t="shared" si="41"/>
        <v>68524.96</v>
      </c>
    </row>
    <row r="155" spans="1:14" ht="12.75">
      <c r="A155" s="16" t="s">
        <v>43</v>
      </c>
      <c r="B155" s="15" t="s">
        <v>44</v>
      </c>
      <c r="C155" s="8"/>
      <c r="D155" s="25">
        <v>289.4</v>
      </c>
      <c r="E155" s="25"/>
      <c r="F155" s="26">
        <v>6462.62</v>
      </c>
      <c r="G155" s="19">
        <f t="shared" si="42"/>
        <v>1870282.228</v>
      </c>
      <c r="H155" s="20">
        <f t="shared" si="43"/>
        <v>155856.85</v>
      </c>
      <c r="I155" s="20">
        <f t="shared" si="44"/>
        <v>-1558.57</v>
      </c>
      <c r="J155" s="20">
        <f t="shared" si="45"/>
        <v>-1558.57</v>
      </c>
      <c r="K155" s="20">
        <f t="shared" si="39"/>
        <v>-4675.71</v>
      </c>
      <c r="L155" s="29">
        <v>-40616.67</v>
      </c>
      <c r="M155" s="16">
        <f t="shared" si="40"/>
        <v>107447.33</v>
      </c>
      <c r="N155" s="8">
        <f t="shared" si="41"/>
        <v>109005.9</v>
      </c>
    </row>
    <row r="156" spans="1:14" ht="12.75">
      <c r="A156" s="16" t="s">
        <v>43</v>
      </c>
      <c r="B156" s="16" t="s">
        <v>45</v>
      </c>
      <c r="C156" s="8"/>
      <c r="D156" s="25">
        <v>152.5</v>
      </c>
      <c r="E156" s="34">
        <v>6462.62</v>
      </c>
      <c r="F156" s="26">
        <v>6227.67</v>
      </c>
      <c r="G156" s="19">
        <f>ROUND((D156*F156)+(1.4*6462.62),4)</f>
        <v>958767.343</v>
      </c>
      <c r="H156" s="20">
        <f t="shared" si="43"/>
        <v>79897.28</v>
      </c>
      <c r="I156" s="20">
        <f>ROUND(G156*-0.01/12,2)</f>
        <v>-798.97</v>
      </c>
      <c r="J156" s="20">
        <f>ROUND(G156*-0.01/12,2)</f>
        <v>-798.97</v>
      </c>
      <c r="K156" s="20">
        <f t="shared" si="39"/>
        <v>-2396.92</v>
      </c>
      <c r="L156" s="14"/>
      <c r="M156" s="16">
        <f t="shared" si="40"/>
        <v>75902.42</v>
      </c>
      <c r="N156" s="8">
        <f t="shared" si="41"/>
        <v>76701.39</v>
      </c>
    </row>
    <row r="157" spans="1:14" ht="12.75">
      <c r="A157" s="16" t="s">
        <v>43</v>
      </c>
      <c r="B157" s="16" t="s">
        <v>46</v>
      </c>
      <c r="C157" s="8"/>
      <c r="D157" s="25">
        <v>363.5</v>
      </c>
      <c r="E157" s="25"/>
      <c r="F157" s="26">
        <v>6227.67</v>
      </c>
      <c r="G157" s="19">
        <f>ROUND(D157*F157,4)</f>
        <v>2263758.045</v>
      </c>
      <c r="H157" s="20">
        <f t="shared" si="43"/>
        <v>188646.5</v>
      </c>
      <c r="I157" s="20">
        <f>ROUND(G157*-0.01/12,2)</f>
        <v>-1886.47</v>
      </c>
      <c r="J157" s="20">
        <f>ROUND(G157*-0.01/12,2)</f>
        <v>-1886.47</v>
      </c>
      <c r="K157" s="20">
        <f t="shared" si="39"/>
        <v>-5659.4</v>
      </c>
      <c r="L157" s="20"/>
      <c r="M157" s="16">
        <f t="shared" si="40"/>
        <v>179214.16</v>
      </c>
      <c r="N157" s="8">
        <f t="shared" si="41"/>
        <v>181100.63</v>
      </c>
    </row>
    <row r="158" spans="1:14" ht="12.75">
      <c r="A158" s="16" t="s">
        <v>47</v>
      </c>
      <c r="B158" s="16" t="s">
        <v>48</v>
      </c>
      <c r="C158" s="8"/>
      <c r="D158" s="30">
        <v>436.5</v>
      </c>
      <c r="E158" s="15"/>
      <c r="F158" s="26">
        <v>6462.62</v>
      </c>
      <c r="G158" s="19">
        <f>ROUND(D158*F158,4)</f>
        <v>2820933.63</v>
      </c>
      <c r="H158" s="20">
        <f t="shared" si="43"/>
        <v>235077.8</v>
      </c>
      <c r="I158" s="20">
        <f>ROUND(G158*-0.01/12,2)</f>
        <v>-2350.78</v>
      </c>
      <c r="J158" s="20">
        <f>ROUND(G158*-0.01/12,2)</f>
        <v>-2350.78</v>
      </c>
      <c r="K158" s="20">
        <f t="shared" si="39"/>
        <v>-7052.33</v>
      </c>
      <c r="L158" s="20">
        <v>-31575.83</v>
      </c>
      <c r="M158" s="16">
        <f t="shared" si="40"/>
        <v>191748.08000000002</v>
      </c>
      <c r="N158" s="8">
        <f t="shared" si="41"/>
        <v>194098.86</v>
      </c>
    </row>
    <row r="159" spans="1:14" ht="12.75">
      <c r="A159" s="8"/>
      <c r="B159" s="8"/>
      <c r="C159" s="8"/>
      <c r="D159" s="31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4:14" ht="12.75">
      <c r="D160" s="32">
        <f>SUM(D141:D159)</f>
        <v>7598.299999999999</v>
      </c>
      <c r="G160" s="1">
        <f aca="true" t="shared" si="46" ref="G160:N160">SUM(G141:G159)</f>
        <v>50016873.253000006</v>
      </c>
      <c r="H160" s="1">
        <f t="shared" si="46"/>
        <v>4168072.7699999996</v>
      </c>
      <c r="I160" s="1">
        <f t="shared" si="46"/>
        <v>-41680.73</v>
      </c>
      <c r="J160" s="1">
        <f t="shared" si="46"/>
        <v>-41680.73</v>
      </c>
      <c r="K160" s="1">
        <f t="shared" si="46"/>
        <v>-125042.18</v>
      </c>
      <c r="L160" s="1">
        <f t="shared" si="46"/>
        <v>-330607.68</v>
      </c>
      <c r="M160" s="1">
        <f t="shared" si="46"/>
        <v>3629061.4500000007</v>
      </c>
      <c r="N160" s="1">
        <f t="shared" si="46"/>
        <v>3670742.1799999997</v>
      </c>
    </row>
    <row r="163" ht="12.75">
      <c r="H163" s="1">
        <f>H21+H45+H69+H93+H117</f>
        <v>5263819.9</v>
      </c>
    </row>
    <row r="170" spans="1:14" ht="51">
      <c r="A170" s="33" t="s">
        <v>56</v>
      </c>
      <c r="B170" s="11"/>
      <c r="C170" s="11"/>
      <c r="D170" s="12" t="s">
        <v>15</v>
      </c>
      <c r="E170" s="12" t="s">
        <v>16</v>
      </c>
      <c r="F170" s="12" t="s">
        <v>17</v>
      </c>
      <c r="G170" s="12" t="s">
        <v>18</v>
      </c>
      <c r="H170" s="12" t="s">
        <v>19</v>
      </c>
      <c r="I170" s="12" t="s">
        <v>20</v>
      </c>
      <c r="J170" s="12" t="s">
        <v>53</v>
      </c>
      <c r="K170" s="12" t="s">
        <v>21</v>
      </c>
      <c r="L170" s="12" t="s">
        <v>49</v>
      </c>
      <c r="M170" s="12" t="s">
        <v>51</v>
      </c>
      <c r="N170" s="12" t="s">
        <v>22</v>
      </c>
    </row>
    <row r="171" spans="1:14" ht="12.75">
      <c r="A171" s="8"/>
      <c r="B171" s="8"/>
      <c r="C171" s="8"/>
      <c r="D171" s="13"/>
      <c r="E171" s="13"/>
      <c r="F171" s="14"/>
      <c r="G171" s="14"/>
      <c r="H171" s="14"/>
      <c r="I171" s="14"/>
      <c r="J171" s="14"/>
      <c r="K171" s="14"/>
      <c r="L171" s="14"/>
      <c r="M171" s="15"/>
      <c r="N171" s="8"/>
    </row>
    <row r="172" spans="1:14" ht="12.75">
      <c r="A172" s="16" t="s">
        <v>23</v>
      </c>
      <c r="B172" s="16" t="s">
        <v>24</v>
      </c>
      <c r="C172" s="8"/>
      <c r="D172" s="17">
        <v>1884.7</v>
      </c>
      <c r="E172" s="17"/>
      <c r="F172" s="18">
        <v>6666.26</v>
      </c>
      <c r="G172" s="19">
        <f>ROUND(D172*F172,2)</f>
        <v>12563900.22</v>
      </c>
      <c r="H172" s="20">
        <f>ROUND((G172/2)-(H117*5),2)</f>
        <v>1018130.21</v>
      </c>
      <c r="I172" s="20">
        <f>ROUND((G172*-0.01/2)-(I117*5),2)</f>
        <v>-10181.3</v>
      </c>
      <c r="J172" s="20">
        <f>ROUND((G172*-0.01/2)-(J117*5),2)</f>
        <v>-10181.3</v>
      </c>
      <c r="K172" s="20">
        <f aca="true" t="shared" si="47" ref="K172:K189">ROUND((G172*-0.03/2)-(K117*5),2)</f>
        <v>-30543.9</v>
      </c>
      <c r="L172" s="21">
        <v>-195421.88</v>
      </c>
      <c r="M172" s="16">
        <f aca="true" t="shared" si="48" ref="M172:M189">SUM(H172:L172)</f>
        <v>771801.8299999998</v>
      </c>
      <c r="N172" s="8">
        <f aca="true" t="shared" si="49" ref="N172:N189">ROUND(M172+(J172*-1),2)</f>
        <v>781983.13</v>
      </c>
    </row>
    <row r="173" spans="1:14" ht="12.75">
      <c r="A173" s="16" t="s">
        <v>25</v>
      </c>
      <c r="B173" s="16" t="s">
        <v>26</v>
      </c>
      <c r="C173" s="8"/>
      <c r="D173" s="22">
        <v>416.7</v>
      </c>
      <c r="E173" s="22"/>
      <c r="F173" s="23">
        <v>6543.64</v>
      </c>
      <c r="G173" s="19">
        <f aca="true" t="shared" si="50" ref="G173:G186">ROUND(D173*F173,2)</f>
        <v>2726734.79</v>
      </c>
      <c r="H173" s="20">
        <f aca="true" t="shared" si="51" ref="H173:H189">ROUND((G173/2)-(H118*5),2)</f>
        <v>116676.55</v>
      </c>
      <c r="I173" s="20">
        <f aca="true" t="shared" si="52" ref="I173:I189">ROUND((G173*-0.01/2)-(I118*5),2)</f>
        <v>-1166.77</v>
      </c>
      <c r="J173" s="20">
        <f aca="true" t="shared" si="53" ref="J173:J189">ROUND((G173*-0.01/2)-(J118*5),2)</f>
        <v>-1166.77</v>
      </c>
      <c r="K173" s="20">
        <f t="shared" si="47"/>
        <v>-3500.27</v>
      </c>
      <c r="L173" s="21">
        <v>-1084.55</v>
      </c>
      <c r="M173" s="16">
        <f t="shared" si="48"/>
        <v>109758.18999999999</v>
      </c>
      <c r="N173" s="8">
        <f t="shared" si="49"/>
        <v>110924.96</v>
      </c>
    </row>
    <row r="174" spans="1:14" ht="12.75">
      <c r="A174" s="16" t="s">
        <v>5</v>
      </c>
      <c r="B174" s="16" t="s">
        <v>27</v>
      </c>
      <c r="C174" s="10"/>
      <c r="D174" s="22">
        <v>191</v>
      </c>
      <c r="E174" s="22"/>
      <c r="F174" s="23">
        <v>7171.29</v>
      </c>
      <c r="G174" s="19">
        <f t="shared" si="50"/>
        <v>1369716.39</v>
      </c>
      <c r="H174" s="20">
        <f t="shared" si="51"/>
        <v>85097.44</v>
      </c>
      <c r="I174" s="20">
        <f t="shared" si="52"/>
        <v>-850.98</v>
      </c>
      <c r="J174" s="20">
        <f t="shared" si="53"/>
        <v>-850.98</v>
      </c>
      <c r="K174" s="20">
        <f t="shared" si="47"/>
        <v>-2552.95</v>
      </c>
      <c r="L174" s="21"/>
      <c r="M174" s="16">
        <f t="shared" si="48"/>
        <v>80842.53000000001</v>
      </c>
      <c r="N174" s="8">
        <f t="shared" si="49"/>
        <v>81693.51</v>
      </c>
    </row>
    <row r="175" spans="1:14" ht="12.75">
      <c r="A175" s="16" t="s">
        <v>5</v>
      </c>
      <c r="B175" s="16" t="s">
        <v>28</v>
      </c>
      <c r="C175" s="10"/>
      <c r="D175" s="22">
        <v>1343.5</v>
      </c>
      <c r="E175" s="22"/>
      <c r="F175" s="23">
        <v>6227.67</v>
      </c>
      <c r="G175" s="19">
        <f t="shared" si="50"/>
        <v>8366874.65</v>
      </c>
      <c r="H175" s="20">
        <f t="shared" si="51"/>
        <v>1061012.33</v>
      </c>
      <c r="I175" s="20">
        <f t="shared" si="52"/>
        <v>-10610.12</v>
      </c>
      <c r="J175" s="20">
        <f t="shared" si="53"/>
        <v>-10610.12</v>
      </c>
      <c r="K175" s="20">
        <f t="shared" si="47"/>
        <v>-31830.37</v>
      </c>
      <c r="L175" s="21"/>
      <c r="M175" s="16">
        <f t="shared" si="48"/>
        <v>1007961.72</v>
      </c>
      <c r="N175" s="8">
        <f t="shared" si="49"/>
        <v>1018571.84</v>
      </c>
    </row>
    <row r="176" spans="1:14" ht="12.75">
      <c r="A176" s="16" t="s">
        <v>5</v>
      </c>
      <c r="B176" s="16" t="s">
        <v>29</v>
      </c>
      <c r="C176" s="7"/>
      <c r="D176" s="22">
        <v>236.4</v>
      </c>
      <c r="E176" s="22"/>
      <c r="F176" s="23">
        <v>7171.29</v>
      </c>
      <c r="G176" s="19">
        <f t="shared" si="50"/>
        <v>1695292.96</v>
      </c>
      <c r="H176" s="20">
        <f t="shared" si="51"/>
        <v>239572.23</v>
      </c>
      <c r="I176" s="20">
        <f t="shared" si="52"/>
        <v>-2395.71</v>
      </c>
      <c r="J176" s="20">
        <f t="shared" si="53"/>
        <v>-2395.71</v>
      </c>
      <c r="K176" s="20">
        <f t="shared" si="47"/>
        <v>-7187.14</v>
      </c>
      <c r="L176" s="21"/>
      <c r="M176" s="16">
        <f t="shared" si="48"/>
        <v>227593.67</v>
      </c>
      <c r="N176" s="8">
        <f t="shared" si="49"/>
        <v>229989.38</v>
      </c>
    </row>
    <row r="177" spans="1:14" ht="12.75">
      <c r="A177" s="16" t="s">
        <v>30</v>
      </c>
      <c r="B177" s="16" t="s">
        <v>31</v>
      </c>
      <c r="C177" s="10"/>
      <c r="D177" s="22">
        <v>193.2</v>
      </c>
      <c r="E177" s="22"/>
      <c r="F177" s="23">
        <v>7098.45</v>
      </c>
      <c r="G177" s="19">
        <f t="shared" si="50"/>
        <v>1371420.54</v>
      </c>
      <c r="H177" s="20">
        <f t="shared" si="51"/>
        <v>96525.87</v>
      </c>
      <c r="I177" s="20">
        <f t="shared" si="52"/>
        <v>-965.25</v>
      </c>
      <c r="J177" s="20">
        <f t="shared" si="53"/>
        <v>-965.25</v>
      </c>
      <c r="K177" s="20">
        <f t="shared" si="47"/>
        <v>-2895.76</v>
      </c>
      <c r="L177" s="21"/>
      <c r="M177" s="16">
        <f t="shared" si="48"/>
        <v>91699.61</v>
      </c>
      <c r="N177" s="8">
        <f t="shared" si="49"/>
        <v>92664.86</v>
      </c>
    </row>
    <row r="178" spans="1:14" ht="15" customHeight="1">
      <c r="A178" s="16" t="s">
        <v>32</v>
      </c>
      <c r="B178" s="24" t="s">
        <v>33</v>
      </c>
      <c r="C178" s="10"/>
      <c r="D178" s="25">
        <v>254.9</v>
      </c>
      <c r="E178" s="25"/>
      <c r="F178" s="26">
        <v>6663.31</v>
      </c>
      <c r="G178" s="19">
        <f t="shared" si="50"/>
        <v>1698477.72</v>
      </c>
      <c r="H178" s="20">
        <f t="shared" si="51"/>
        <v>43832.76</v>
      </c>
      <c r="I178" s="20">
        <f t="shared" si="52"/>
        <v>-438.34</v>
      </c>
      <c r="J178" s="20">
        <f t="shared" si="53"/>
        <v>-438.34</v>
      </c>
      <c r="K178" s="20">
        <f t="shared" si="47"/>
        <v>-1314.97</v>
      </c>
      <c r="L178" s="21">
        <v>-17750</v>
      </c>
      <c r="M178" s="16">
        <f t="shared" si="48"/>
        <v>23891.110000000008</v>
      </c>
      <c r="N178" s="8">
        <f t="shared" si="49"/>
        <v>24329.45</v>
      </c>
    </row>
    <row r="179" spans="1:14" ht="12.75">
      <c r="A179" s="16" t="s">
        <v>32</v>
      </c>
      <c r="B179" s="16" t="s">
        <v>34</v>
      </c>
      <c r="C179" s="10"/>
      <c r="D179" s="25">
        <v>214.5</v>
      </c>
      <c r="E179" s="25"/>
      <c r="F179" s="26">
        <v>6663.31</v>
      </c>
      <c r="G179" s="19">
        <f t="shared" si="50"/>
        <v>1429280</v>
      </c>
      <c r="H179" s="20">
        <f t="shared" si="51"/>
        <v>18441.5</v>
      </c>
      <c r="I179" s="20">
        <f t="shared" si="52"/>
        <v>-184.4</v>
      </c>
      <c r="J179" s="20">
        <f t="shared" si="53"/>
        <v>-184.4</v>
      </c>
      <c r="K179" s="20">
        <f t="shared" si="47"/>
        <v>-553.25</v>
      </c>
      <c r="L179" s="21"/>
      <c r="M179" s="16">
        <f t="shared" si="48"/>
        <v>17519.449999999997</v>
      </c>
      <c r="N179" s="8">
        <f t="shared" si="49"/>
        <v>17703.85</v>
      </c>
    </row>
    <row r="180" spans="1:14" ht="12.75">
      <c r="A180" s="16" t="s">
        <v>32</v>
      </c>
      <c r="B180" s="27" t="s">
        <v>35</v>
      </c>
      <c r="C180" s="10"/>
      <c r="D180" s="28">
        <v>112</v>
      </c>
      <c r="E180" s="28"/>
      <c r="F180" s="26">
        <v>6663.31</v>
      </c>
      <c r="G180" s="19">
        <f t="shared" si="50"/>
        <v>746290.72</v>
      </c>
      <c r="H180" s="20">
        <f t="shared" si="51"/>
        <v>52765.91</v>
      </c>
      <c r="I180" s="20">
        <f t="shared" si="52"/>
        <v>-527.65</v>
      </c>
      <c r="J180" s="20">
        <f t="shared" si="53"/>
        <v>-527.65</v>
      </c>
      <c r="K180" s="20">
        <f t="shared" si="47"/>
        <v>-1582.96</v>
      </c>
      <c r="L180" s="21"/>
      <c r="M180" s="16">
        <f t="shared" si="48"/>
        <v>50127.65</v>
      </c>
      <c r="N180" s="8">
        <f t="shared" si="49"/>
        <v>50655.3</v>
      </c>
    </row>
    <row r="181" spans="1:14" ht="12.75">
      <c r="A181" s="16" t="s">
        <v>32</v>
      </c>
      <c r="B181" s="16" t="s">
        <v>36</v>
      </c>
      <c r="C181" s="8"/>
      <c r="D181" s="25">
        <v>385.2</v>
      </c>
      <c r="E181" s="25"/>
      <c r="F181" s="26">
        <v>6663.31</v>
      </c>
      <c r="G181" s="19">
        <f t="shared" si="50"/>
        <v>2566707.01</v>
      </c>
      <c r="H181" s="20">
        <f t="shared" si="51"/>
        <v>148653.06</v>
      </c>
      <c r="I181" s="20">
        <f t="shared" si="52"/>
        <v>-1486.54</v>
      </c>
      <c r="J181" s="20">
        <f t="shared" si="53"/>
        <v>-1486.54</v>
      </c>
      <c r="K181" s="20">
        <f t="shared" si="47"/>
        <v>-4459.61</v>
      </c>
      <c r="L181" s="29">
        <v>-44158.75</v>
      </c>
      <c r="M181" s="16">
        <f t="shared" si="48"/>
        <v>97061.62</v>
      </c>
      <c r="N181" s="8">
        <f t="shared" si="49"/>
        <v>98548.16</v>
      </c>
    </row>
    <row r="182" spans="1:14" ht="12.75">
      <c r="A182" s="16" t="s">
        <v>32</v>
      </c>
      <c r="B182" s="16" t="s">
        <v>37</v>
      </c>
      <c r="C182" s="10"/>
      <c r="D182" s="25">
        <v>502</v>
      </c>
      <c r="E182" s="25"/>
      <c r="F182" s="26">
        <v>6663.31</v>
      </c>
      <c r="G182" s="19">
        <f t="shared" si="50"/>
        <v>3344981.62</v>
      </c>
      <c r="H182" s="20">
        <f t="shared" si="51"/>
        <v>418832.06</v>
      </c>
      <c r="I182" s="20">
        <f t="shared" si="52"/>
        <v>-4188.31</v>
      </c>
      <c r="J182" s="20">
        <f t="shared" si="53"/>
        <v>-4188.31</v>
      </c>
      <c r="K182" s="20">
        <f t="shared" si="47"/>
        <v>-12564.97</v>
      </c>
      <c r="L182" s="21"/>
      <c r="M182" s="16">
        <f t="shared" si="48"/>
        <v>397890.47000000003</v>
      </c>
      <c r="N182" s="8">
        <f t="shared" si="49"/>
        <v>402078.78</v>
      </c>
    </row>
    <row r="183" spans="1:14" ht="12.75">
      <c r="A183" s="16" t="s">
        <v>32</v>
      </c>
      <c r="B183" s="16" t="s">
        <v>38</v>
      </c>
      <c r="C183" s="10"/>
      <c r="D183" s="25">
        <v>305</v>
      </c>
      <c r="E183" s="25"/>
      <c r="F183" s="26">
        <v>6663.31</v>
      </c>
      <c r="G183" s="19">
        <f t="shared" si="50"/>
        <v>2032309.55</v>
      </c>
      <c r="H183" s="20">
        <f t="shared" si="51"/>
        <v>82875.48</v>
      </c>
      <c r="I183" s="20">
        <f t="shared" si="52"/>
        <v>-828.75</v>
      </c>
      <c r="J183" s="20">
        <f t="shared" si="53"/>
        <v>-828.75</v>
      </c>
      <c r="K183" s="20">
        <f t="shared" si="47"/>
        <v>-2486.24</v>
      </c>
      <c r="L183" s="21"/>
      <c r="M183" s="16">
        <f t="shared" si="48"/>
        <v>78731.73999999999</v>
      </c>
      <c r="N183" s="8">
        <f t="shared" si="49"/>
        <v>79560.49</v>
      </c>
    </row>
    <row r="184" spans="1:14" ht="12.75">
      <c r="A184" s="16" t="s">
        <v>39</v>
      </c>
      <c r="B184" s="16" t="s">
        <v>40</v>
      </c>
      <c r="C184" s="8"/>
      <c r="D184" s="25">
        <v>189.3</v>
      </c>
      <c r="E184" s="25"/>
      <c r="F184" s="26">
        <v>7050.1</v>
      </c>
      <c r="G184" s="19">
        <f t="shared" si="50"/>
        <v>1334583.93</v>
      </c>
      <c r="H184" s="20">
        <f t="shared" si="51"/>
        <v>78563.31</v>
      </c>
      <c r="I184" s="20">
        <f t="shared" si="52"/>
        <v>-785.62</v>
      </c>
      <c r="J184" s="20">
        <f t="shared" si="53"/>
        <v>-785.62</v>
      </c>
      <c r="K184" s="20">
        <f t="shared" si="47"/>
        <v>-2356.91</v>
      </c>
      <c r="L184" s="21"/>
      <c r="M184" s="16">
        <f t="shared" si="48"/>
        <v>74635.16</v>
      </c>
      <c r="N184" s="8">
        <f t="shared" si="49"/>
        <v>75420.78</v>
      </c>
    </row>
    <row r="185" spans="1:14" ht="12.75">
      <c r="A185" s="16" t="s">
        <v>41</v>
      </c>
      <c r="B185" s="16" t="s">
        <v>42</v>
      </c>
      <c r="C185" s="8"/>
      <c r="D185" s="25">
        <v>128</v>
      </c>
      <c r="E185" s="25"/>
      <c r="F185" s="26">
        <v>6691.89</v>
      </c>
      <c r="G185" s="19">
        <f t="shared" si="50"/>
        <v>856561.92</v>
      </c>
      <c r="H185" s="20">
        <f t="shared" si="51"/>
        <v>-1139.04</v>
      </c>
      <c r="I185" s="20">
        <f t="shared" si="52"/>
        <v>11.39</v>
      </c>
      <c r="J185" s="20">
        <f t="shared" si="53"/>
        <v>11.39</v>
      </c>
      <c r="K185" s="20">
        <f t="shared" si="47"/>
        <v>34.17</v>
      </c>
      <c r="L185" s="21"/>
      <c r="M185" s="16">
        <f t="shared" si="48"/>
        <v>-1082.0899999999997</v>
      </c>
      <c r="N185" s="8">
        <f t="shared" si="49"/>
        <v>-1093.48</v>
      </c>
    </row>
    <row r="186" spans="1:14" ht="12.75">
      <c r="A186" s="16" t="s">
        <v>43</v>
      </c>
      <c r="B186" s="15" t="s">
        <v>44</v>
      </c>
      <c r="C186" s="8"/>
      <c r="D186" s="25">
        <v>289.4</v>
      </c>
      <c r="E186" s="25"/>
      <c r="F186" s="26">
        <v>6462.62</v>
      </c>
      <c r="G186" s="19">
        <f t="shared" si="50"/>
        <v>1870282.23</v>
      </c>
      <c r="H186" s="20">
        <f t="shared" si="51"/>
        <v>7502.11</v>
      </c>
      <c r="I186" s="20">
        <f t="shared" si="52"/>
        <v>-75.01</v>
      </c>
      <c r="J186" s="20">
        <f t="shared" si="53"/>
        <v>-75.01</v>
      </c>
      <c r="K186" s="20">
        <f t="shared" si="47"/>
        <v>-225.08</v>
      </c>
      <c r="L186" s="29">
        <v>-40616.67</v>
      </c>
      <c r="M186" s="16">
        <f t="shared" si="48"/>
        <v>-33489.659999999996</v>
      </c>
      <c r="N186" s="8">
        <f t="shared" si="49"/>
        <v>-33414.65</v>
      </c>
    </row>
    <row r="187" spans="1:14" ht="12.75">
      <c r="A187" s="16" t="s">
        <v>43</v>
      </c>
      <c r="B187" s="16" t="s">
        <v>45</v>
      </c>
      <c r="C187" s="8"/>
      <c r="D187" s="25">
        <v>152.5</v>
      </c>
      <c r="E187" s="34">
        <v>6462.62</v>
      </c>
      <c r="F187" s="26">
        <v>6227.67</v>
      </c>
      <c r="G187" s="19">
        <f>ROUND((D187*F187)+(1.4*6462.62),2)</f>
        <v>958767.34</v>
      </c>
      <c r="H187" s="20">
        <f t="shared" si="51"/>
        <v>-78939.03</v>
      </c>
      <c r="I187" s="20">
        <f t="shared" si="52"/>
        <v>789.41</v>
      </c>
      <c r="J187" s="20">
        <f t="shared" si="53"/>
        <v>789.41</v>
      </c>
      <c r="K187" s="20">
        <f t="shared" si="47"/>
        <v>2368.19</v>
      </c>
      <c r="L187" s="14"/>
      <c r="M187" s="16">
        <f t="shared" si="48"/>
        <v>-74992.01999999999</v>
      </c>
      <c r="N187" s="8">
        <f t="shared" si="49"/>
        <v>-75781.43</v>
      </c>
    </row>
    <row r="188" spans="1:14" ht="12.75">
      <c r="A188" s="16" t="s">
        <v>43</v>
      </c>
      <c r="B188" s="16" t="s">
        <v>46</v>
      </c>
      <c r="C188" s="8"/>
      <c r="D188" s="25">
        <v>363.5</v>
      </c>
      <c r="E188" s="25"/>
      <c r="F188" s="26">
        <v>6227.67</v>
      </c>
      <c r="G188" s="19">
        <f>ROUND(D188*F188,2)</f>
        <v>2263758.05</v>
      </c>
      <c r="H188" s="20">
        <f t="shared" si="51"/>
        <v>91070.67</v>
      </c>
      <c r="I188" s="20">
        <f t="shared" si="52"/>
        <v>-910.69</v>
      </c>
      <c r="J188" s="20">
        <f t="shared" si="53"/>
        <v>-910.69</v>
      </c>
      <c r="K188" s="20">
        <f t="shared" si="47"/>
        <v>-2732.12</v>
      </c>
      <c r="L188" s="20"/>
      <c r="M188" s="16">
        <f t="shared" si="48"/>
        <v>86517.17</v>
      </c>
      <c r="N188" s="8">
        <f t="shared" si="49"/>
        <v>87427.86</v>
      </c>
    </row>
    <row r="189" spans="1:14" ht="12.75">
      <c r="A189" s="16" t="s">
        <v>47</v>
      </c>
      <c r="B189" s="16" t="s">
        <v>48</v>
      </c>
      <c r="C189" s="8"/>
      <c r="D189" s="30">
        <v>436.5</v>
      </c>
      <c r="E189" s="15"/>
      <c r="F189" s="26">
        <v>6462.62</v>
      </c>
      <c r="G189" s="19">
        <f>ROUND(D189*F189,2)</f>
        <v>2820933.63</v>
      </c>
      <c r="H189" s="20">
        <f t="shared" si="51"/>
        <v>274378.72</v>
      </c>
      <c r="I189" s="20">
        <f t="shared" si="52"/>
        <v>-2743.77</v>
      </c>
      <c r="J189" s="20">
        <f t="shared" si="53"/>
        <v>-2743.77</v>
      </c>
      <c r="K189" s="20">
        <f t="shared" si="47"/>
        <v>-8231.35</v>
      </c>
      <c r="L189" s="20">
        <v>-31575.83</v>
      </c>
      <c r="M189" s="16">
        <f t="shared" si="48"/>
        <v>229083.99999999994</v>
      </c>
      <c r="N189" s="8">
        <f t="shared" si="49"/>
        <v>231827.77</v>
      </c>
    </row>
    <row r="190" spans="1:14" ht="12.75">
      <c r="A190" s="8"/>
      <c r="B190" s="8"/>
      <c r="C190" s="8"/>
      <c r="D190" s="31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4:14" ht="12.75">
      <c r="D191" s="32">
        <f>SUM(D172:D190)</f>
        <v>7598.299999999999</v>
      </c>
      <c r="G191" s="1">
        <f aca="true" t="shared" si="54" ref="G191:N191">SUM(G172:G190)</f>
        <v>50016873.269999996</v>
      </c>
      <c r="H191" s="1">
        <f t="shared" si="54"/>
        <v>3753852.1400000006</v>
      </c>
      <c r="I191" s="1">
        <f t="shared" si="54"/>
        <v>-37538.41</v>
      </c>
      <c r="J191" s="1">
        <f t="shared" si="54"/>
        <v>-37538.41</v>
      </c>
      <c r="K191" s="1">
        <f t="shared" si="54"/>
        <v>-112615.49</v>
      </c>
      <c r="L191" s="1">
        <f t="shared" si="54"/>
        <v>-330607.68</v>
      </c>
      <c r="M191" s="1">
        <f t="shared" si="54"/>
        <v>3235552.15</v>
      </c>
      <c r="N191" s="1">
        <f t="shared" si="54"/>
        <v>3273090.5599999996</v>
      </c>
    </row>
    <row r="193" ht="12.75">
      <c r="H193" s="1">
        <f>H163+H172</f>
        <v>6281950.11</v>
      </c>
    </row>
    <row r="195" spans="1:14" ht="51">
      <c r="A195" s="33" t="s">
        <v>59</v>
      </c>
      <c r="B195" s="11"/>
      <c r="C195" s="11"/>
      <c r="D195" s="12" t="s">
        <v>15</v>
      </c>
      <c r="E195" s="12" t="s">
        <v>16</v>
      </c>
      <c r="F195" s="12" t="s">
        <v>17</v>
      </c>
      <c r="G195" s="12" t="s">
        <v>18</v>
      </c>
      <c r="H195" s="12" t="s">
        <v>19</v>
      </c>
      <c r="I195" s="12" t="s">
        <v>20</v>
      </c>
      <c r="J195" s="12" t="s">
        <v>53</v>
      </c>
      <c r="K195" s="12" t="s">
        <v>21</v>
      </c>
      <c r="L195" s="12" t="s">
        <v>49</v>
      </c>
      <c r="M195" s="12" t="s">
        <v>51</v>
      </c>
      <c r="N195" s="12" t="s">
        <v>22</v>
      </c>
    </row>
    <row r="196" spans="1:14" ht="12.75">
      <c r="A196" s="8"/>
      <c r="B196" s="8"/>
      <c r="C196" s="8"/>
      <c r="D196" s="13"/>
      <c r="E196" s="13"/>
      <c r="F196" s="14"/>
      <c r="G196" s="14"/>
      <c r="H196" s="14"/>
      <c r="I196" s="14"/>
      <c r="J196" s="14"/>
      <c r="K196" s="14"/>
      <c r="L196" s="14"/>
      <c r="M196" s="15"/>
      <c r="N196" s="8"/>
    </row>
    <row r="197" spans="1:14" ht="12.75">
      <c r="A197" s="16" t="s">
        <v>23</v>
      </c>
      <c r="B197" s="16" t="s">
        <v>24</v>
      </c>
      <c r="C197" s="8"/>
      <c r="D197" s="17">
        <v>1884.7</v>
      </c>
      <c r="E197" s="17"/>
      <c r="F197" s="18">
        <v>6666.26</v>
      </c>
      <c r="G197" s="19">
        <f>ROUND(D197*F197,2)</f>
        <v>12563900.22</v>
      </c>
      <c r="H197" s="20">
        <f>ROUND(G197/12,2)</f>
        <v>1046991.69</v>
      </c>
      <c r="I197" s="20">
        <f>ROUND(G197/12*-0.01,2)</f>
        <v>-10469.92</v>
      </c>
      <c r="J197" s="20">
        <f>ROUND(G197/12*-0.01,2)</f>
        <v>-10469.92</v>
      </c>
      <c r="K197" s="20">
        <f>ROUND(G197/12*-0.03,2)</f>
        <v>-31409.75</v>
      </c>
      <c r="L197" s="21">
        <v>-195418.97</v>
      </c>
      <c r="M197" s="16">
        <f aca="true" t="shared" si="55" ref="M197:M214">SUM(H197:L197)</f>
        <v>799223.1299999999</v>
      </c>
      <c r="N197" s="8">
        <f aca="true" t="shared" si="56" ref="N197:N214">ROUND(M197+(J197*-1),2)</f>
        <v>809693.05</v>
      </c>
    </row>
    <row r="198" spans="1:14" ht="12.75">
      <c r="A198" s="16" t="s">
        <v>25</v>
      </c>
      <c r="B198" s="16" t="s">
        <v>26</v>
      </c>
      <c r="C198" s="8"/>
      <c r="D198" s="22">
        <v>416.7</v>
      </c>
      <c r="E198" s="22"/>
      <c r="F198" s="23">
        <v>6543.64</v>
      </c>
      <c r="G198" s="19">
        <f aca="true" t="shared" si="57" ref="G198:G211">ROUND(D198*F198,2)</f>
        <v>2726734.79</v>
      </c>
      <c r="H198" s="20">
        <f aca="true" t="shared" si="58" ref="H198:H214">ROUND(G198/12,2)</f>
        <v>227227.9</v>
      </c>
      <c r="I198" s="20">
        <f aca="true" t="shared" si="59" ref="I198:I214">ROUND(G198/12*-0.01,2)</f>
        <v>-2272.28</v>
      </c>
      <c r="J198" s="20">
        <f aca="true" t="shared" si="60" ref="J198:J214">ROUND(G198/12*-0.01,2)</f>
        <v>-2272.28</v>
      </c>
      <c r="K198" s="20">
        <f aca="true" t="shared" si="61" ref="K198:K214">ROUND(G198/12*-0.03,2)</f>
        <v>-6816.84</v>
      </c>
      <c r="L198" s="21">
        <v>-1084.55</v>
      </c>
      <c r="M198" s="16">
        <f t="shared" si="55"/>
        <v>214781.95</v>
      </c>
      <c r="N198" s="8">
        <f t="shared" si="56"/>
        <v>217054.23</v>
      </c>
    </row>
    <row r="199" spans="1:14" ht="12.75">
      <c r="A199" s="16" t="s">
        <v>5</v>
      </c>
      <c r="B199" s="16" t="s">
        <v>27</v>
      </c>
      <c r="C199" s="10"/>
      <c r="D199" s="22">
        <v>191</v>
      </c>
      <c r="E199" s="22"/>
      <c r="F199" s="23">
        <v>7171.29</v>
      </c>
      <c r="G199" s="19">
        <f t="shared" si="57"/>
        <v>1369716.39</v>
      </c>
      <c r="H199" s="20">
        <f t="shared" si="58"/>
        <v>114143.03</v>
      </c>
      <c r="I199" s="20">
        <f t="shared" si="59"/>
        <v>-1141.43</v>
      </c>
      <c r="J199" s="20">
        <f t="shared" si="60"/>
        <v>-1141.43</v>
      </c>
      <c r="K199" s="20">
        <f t="shared" si="61"/>
        <v>-3424.29</v>
      </c>
      <c r="L199" s="21"/>
      <c r="M199" s="16">
        <f t="shared" si="55"/>
        <v>108435.88000000002</v>
      </c>
      <c r="N199" s="8">
        <f t="shared" si="56"/>
        <v>109577.31</v>
      </c>
    </row>
    <row r="200" spans="1:14" ht="12.75">
      <c r="A200" s="16" t="s">
        <v>5</v>
      </c>
      <c r="B200" s="16" t="s">
        <v>28</v>
      </c>
      <c r="C200" s="10"/>
      <c r="D200" s="22">
        <v>1343.5</v>
      </c>
      <c r="E200" s="22"/>
      <c r="F200" s="23">
        <v>6227.67</v>
      </c>
      <c r="G200" s="19">
        <f t="shared" si="57"/>
        <v>8366874.65</v>
      </c>
      <c r="H200" s="20">
        <f t="shared" si="58"/>
        <v>697239.55</v>
      </c>
      <c r="I200" s="20">
        <f t="shared" si="59"/>
        <v>-6972.4</v>
      </c>
      <c r="J200" s="20">
        <f t="shared" si="60"/>
        <v>-6972.4</v>
      </c>
      <c r="K200" s="20">
        <f t="shared" si="61"/>
        <v>-20917.19</v>
      </c>
      <c r="L200" s="21"/>
      <c r="M200" s="16">
        <f t="shared" si="55"/>
        <v>662377.56</v>
      </c>
      <c r="N200" s="8">
        <f t="shared" si="56"/>
        <v>669349.96</v>
      </c>
    </row>
    <row r="201" spans="1:14" ht="12.75">
      <c r="A201" s="16" t="s">
        <v>5</v>
      </c>
      <c r="B201" s="16" t="s">
        <v>29</v>
      </c>
      <c r="C201" s="7"/>
      <c r="D201" s="22">
        <v>236.4</v>
      </c>
      <c r="E201" s="22"/>
      <c r="F201" s="23">
        <v>7171.29</v>
      </c>
      <c r="G201" s="19">
        <f t="shared" si="57"/>
        <v>1695292.96</v>
      </c>
      <c r="H201" s="20">
        <f t="shared" si="58"/>
        <v>141274.41</v>
      </c>
      <c r="I201" s="20">
        <f t="shared" si="59"/>
        <v>-1412.74</v>
      </c>
      <c r="J201" s="20">
        <f t="shared" si="60"/>
        <v>-1412.74</v>
      </c>
      <c r="K201" s="20">
        <f t="shared" si="61"/>
        <v>-4238.23</v>
      </c>
      <c r="L201" s="21"/>
      <c r="M201" s="16">
        <f t="shared" si="55"/>
        <v>134210.7</v>
      </c>
      <c r="N201" s="8">
        <f t="shared" si="56"/>
        <v>135623.44</v>
      </c>
    </row>
    <row r="202" spans="1:14" ht="12.75">
      <c r="A202" s="16" t="s">
        <v>30</v>
      </c>
      <c r="B202" s="16" t="s">
        <v>31</v>
      </c>
      <c r="C202" s="10"/>
      <c r="D202" s="22">
        <v>193.2</v>
      </c>
      <c r="E202" s="22"/>
      <c r="F202" s="23">
        <v>7098.45</v>
      </c>
      <c r="G202" s="19">
        <f t="shared" si="57"/>
        <v>1371420.54</v>
      </c>
      <c r="H202" s="20">
        <f t="shared" si="58"/>
        <v>114285.05</v>
      </c>
      <c r="I202" s="20">
        <f t="shared" si="59"/>
        <v>-1142.85</v>
      </c>
      <c r="J202" s="20">
        <f t="shared" si="60"/>
        <v>-1142.85</v>
      </c>
      <c r="K202" s="20">
        <f t="shared" si="61"/>
        <v>-3428.55</v>
      </c>
      <c r="L202" s="21"/>
      <c r="M202" s="16">
        <f t="shared" si="55"/>
        <v>108570.79999999999</v>
      </c>
      <c r="N202" s="8">
        <f t="shared" si="56"/>
        <v>109713.65</v>
      </c>
    </row>
    <row r="203" spans="1:14" ht="15.75" customHeight="1">
      <c r="A203" s="16" t="s">
        <v>32</v>
      </c>
      <c r="B203" s="24" t="s">
        <v>33</v>
      </c>
      <c r="C203" s="10"/>
      <c r="D203" s="25">
        <v>254.9</v>
      </c>
      <c r="E203" s="25"/>
      <c r="F203" s="26">
        <v>6663.31</v>
      </c>
      <c r="G203" s="19">
        <f t="shared" si="57"/>
        <v>1698477.72</v>
      </c>
      <c r="H203" s="20">
        <f t="shared" si="58"/>
        <v>141539.81</v>
      </c>
      <c r="I203" s="20">
        <f t="shared" si="59"/>
        <v>-1415.4</v>
      </c>
      <c r="J203" s="20">
        <f t="shared" si="60"/>
        <v>-1415.4</v>
      </c>
      <c r="K203" s="20">
        <f t="shared" si="61"/>
        <v>-4246.19</v>
      </c>
      <c r="L203" s="21">
        <v>-17750</v>
      </c>
      <c r="M203" s="16">
        <f t="shared" si="55"/>
        <v>116712.82</v>
      </c>
      <c r="N203" s="8">
        <f t="shared" si="56"/>
        <v>118128.22</v>
      </c>
    </row>
    <row r="204" spans="1:14" ht="12.75">
      <c r="A204" s="16" t="s">
        <v>32</v>
      </c>
      <c r="B204" s="16" t="s">
        <v>34</v>
      </c>
      <c r="C204" s="10"/>
      <c r="D204" s="25">
        <v>214.5</v>
      </c>
      <c r="E204" s="25"/>
      <c r="F204" s="26">
        <v>6663.31</v>
      </c>
      <c r="G204" s="19">
        <f t="shared" si="57"/>
        <v>1429280</v>
      </c>
      <c r="H204" s="20">
        <f t="shared" si="58"/>
        <v>119106.67</v>
      </c>
      <c r="I204" s="20">
        <f t="shared" si="59"/>
        <v>-1191.07</v>
      </c>
      <c r="J204" s="20">
        <f t="shared" si="60"/>
        <v>-1191.07</v>
      </c>
      <c r="K204" s="20">
        <f t="shared" si="61"/>
        <v>-3573.2</v>
      </c>
      <c r="L204" s="21"/>
      <c r="M204" s="16">
        <f t="shared" si="55"/>
        <v>113151.32999999999</v>
      </c>
      <c r="N204" s="8">
        <f t="shared" si="56"/>
        <v>114342.4</v>
      </c>
    </row>
    <row r="205" spans="1:14" ht="12.75">
      <c r="A205" s="16" t="s">
        <v>32</v>
      </c>
      <c r="B205" s="27" t="s">
        <v>35</v>
      </c>
      <c r="C205" s="10"/>
      <c r="D205" s="28">
        <v>112</v>
      </c>
      <c r="E205" s="28"/>
      <c r="F205" s="26">
        <v>6663.31</v>
      </c>
      <c r="G205" s="19">
        <f t="shared" si="57"/>
        <v>746290.72</v>
      </c>
      <c r="H205" s="20">
        <f t="shared" si="58"/>
        <v>62190.89</v>
      </c>
      <c r="I205" s="20">
        <f t="shared" si="59"/>
        <v>-621.91</v>
      </c>
      <c r="J205" s="20">
        <f t="shared" si="60"/>
        <v>-621.91</v>
      </c>
      <c r="K205" s="20">
        <f t="shared" si="61"/>
        <v>-1865.73</v>
      </c>
      <c r="L205" s="21"/>
      <c r="M205" s="16">
        <f t="shared" si="55"/>
        <v>59081.33999999999</v>
      </c>
      <c r="N205" s="8">
        <f t="shared" si="56"/>
        <v>59703.25</v>
      </c>
    </row>
    <row r="206" spans="1:14" ht="12.75">
      <c r="A206" s="16" t="s">
        <v>32</v>
      </c>
      <c r="B206" s="16" t="s">
        <v>36</v>
      </c>
      <c r="C206" s="8"/>
      <c r="D206" s="25">
        <v>385.2</v>
      </c>
      <c r="E206" s="25"/>
      <c r="F206" s="26">
        <v>6663.31</v>
      </c>
      <c r="G206" s="19">
        <f t="shared" si="57"/>
        <v>2566707.01</v>
      </c>
      <c r="H206" s="20">
        <f t="shared" si="58"/>
        <v>213892.25</v>
      </c>
      <c r="I206" s="20">
        <f t="shared" si="59"/>
        <v>-2138.92</v>
      </c>
      <c r="J206" s="20">
        <f t="shared" si="60"/>
        <v>-2138.92</v>
      </c>
      <c r="K206" s="20">
        <f t="shared" si="61"/>
        <v>-6416.77</v>
      </c>
      <c r="L206" s="29">
        <v>-44158.75</v>
      </c>
      <c r="M206" s="16">
        <f t="shared" si="55"/>
        <v>159038.88999999998</v>
      </c>
      <c r="N206" s="8">
        <f t="shared" si="56"/>
        <v>161177.81</v>
      </c>
    </row>
    <row r="207" spans="1:14" ht="12.75">
      <c r="A207" s="16" t="s">
        <v>32</v>
      </c>
      <c r="B207" s="16" t="s">
        <v>37</v>
      </c>
      <c r="C207" s="10"/>
      <c r="D207" s="25">
        <v>502</v>
      </c>
      <c r="E207" s="25"/>
      <c r="F207" s="26">
        <v>6663.31</v>
      </c>
      <c r="G207" s="19">
        <f t="shared" si="57"/>
        <v>3344981.62</v>
      </c>
      <c r="H207" s="20">
        <f t="shared" si="58"/>
        <v>278748.47</v>
      </c>
      <c r="I207" s="20">
        <f t="shared" si="59"/>
        <v>-2787.48</v>
      </c>
      <c r="J207" s="20">
        <f t="shared" si="60"/>
        <v>-2787.48</v>
      </c>
      <c r="K207" s="20">
        <f t="shared" si="61"/>
        <v>-8362.45</v>
      </c>
      <c r="L207" s="21"/>
      <c r="M207" s="16">
        <f t="shared" si="55"/>
        <v>264811.06</v>
      </c>
      <c r="N207" s="8">
        <f t="shared" si="56"/>
        <v>267598.54</v>
      </c>
    </row>
    <row r="208" spans="1:14" ht="12.75">
      <c r="A208" s="16" t="s">
        <v>32</v>
      </c>
      <c r="B208" s="16" t="s">
        <v>38</v>
      </c>
      <c r="C208" s="10"/>
      <c r="D208" s="25">
        <v>305</v>
      </c>
      <c r="E208" s="25"/>
      <c r="F208" s="26">
        <v>6663.31</v>
      </c>
      <c r="G208" s="19">
        <f t="shared" si="57"/>
        <v>2032309.55</v>
      </c>
      <c r="H208" s="20">
        <f t="shared" si="58"/>
        <v>169359.13</v>
      </c>
      <c r="I208" s="20">
        <f t="shared" si="59"/>
        <v>-1693.59</v>
      </c>
      <c r="J208" s="20">
        <f t="shared" si="60"/>
        <v>-1693.59</v>
      </c>
      <c r="K208" s="20">
        <f t="shared" si="61"/>
        <v>-5080.77</v>
      </c>
      <c r="L208" s="21"/>
      <c r="M208" s="16">
        <f t="shared" si="55"/>
        <v>160891.18000000002</v>
      </c>
      <c r="N208" s="8">
        <f t="shared" si="56"/>
        <v>162584.77</v>
      </c>
    </row>
    <row r="209" spans="1:14" ht="12.75">
      <c r="A209" s="16" t="s">
        <v>39</v>
      </c>
      <c r="B209" s="16" t="s">
        <v>40</v>
      </c>
      <c r="C209" s="8"/>
      <c r="D209" s="25">
        <v>189.3</v>
      </c>
      <c r="E209" s="25"/>
      <c r="F209" s="26">
        <v>7050.1</v>
      </c>
      <c r="G209" s="19">
        <f t="shared" si="57"/>
        <v>1334583.93</v>
      </c>
      <c r="H209" s="20">
        <f t="shared" si="58"/>
        <v>111215.33</v>
      </c>
      <c r="I209" s="20">
        <f t="shared" si="59"/>
        <v>-1112.15</v>
      </c>
      <c r="J209" s="20">
        <f t="shared" si="60"/>
        <v>-1112.15</v>
      </c>
      <c r="K209" s="20">
        <f t="shared" si="61"/>
        <v>-3336.46</v>
      </c>
      <c r="L209" s="21"/>
      <c r="M209" s="16">
        <f t="shared" si="55"/>
        <v>105654.57</v>
      </c>
      <c r="N209" s="8">
        <f t="shared" si="56"/>
        <v>106766.72</v>
      </c>
    </row>
    <row r="210" spans="1:14" ht="12.75">
      <c r="A210" s="16" t="s">
        <v>41</v>
      </c>
      <c r="B210" s="16" t="s">
        <v>42</v>
      </c>
      <c r="C210" s="8"/>
      <c r="D210" s="25">
        <v>128</v>
      </c>
      <c r="E210" s="25"/>
      <c r="F210" s="26">
        <v>6691.89</v>
      </c>
      <c r="G210" s="19">
        <f t="shared" si="57"/>
        <v>856561.92</v>
      </c>
      <c r="H210" s="20">
        <f t="shared" si="58"/>
        <v>71380.16</v>
      </c>
      <c r="I210" s="20">
        <f t="shared" si="59"/>
        <v>-713.8</v>
      </c>
      <c r="J210" s="20">
        <f t="shared" si="60"/>
        <v>-713.8</v>
      </c>
      <c r="K210" s="20">
        <f t="shared" si="61"/>
        <v>-2141.4</v>
      </c>
      <c r="L210" s="21"/>
      <c r="M210" s="16">
        <f t="shared" si="55"/>
        <v>67811.16</v>
      </c>
      <c r="N210" s="8">
        <f t="shared" si="56"/>
        <v>68524.96</v>
      </c>
    </row>
    <row r="211" spans="1:14" ht="12.75">
      <c r="A211" s="16" t="s">
        <v>43</v>
      </c>
      <c r="B211" s="15" t="s">
        <v>44</v>
      </c>
      <c r="C211" s="8"/>
      <c r="D211" s="25">
        <v>289.4</v>
      </c>
      <c r="E211" s="25"/>
      <c r="F211" s="26">
        <v>6462.62</v>
      </c>
      <c r="G211" s="19">
        <f t="shared" si="57"/>
        <v>1870282.23</v>
      </c>
      <c r="H211" s="20">
        <f t="shared" si="58"/>
        <v>155856.85</v>
      </c>
      <c r="I211" s="20">
        <f t="shared" si="59"/>
        <v>-1558.57</v>
      </c>
      <c r="J211" s="20">
        <f t="shared" si="60"/>
        <v>-1558.57</v>
      </c>
      <c r="K211" s="20">
        <f t="shared" si="61"/>
        <v>-4675.71</v>
      </c>
      <c r="L211" s="29">
        <v>-40616.67</v>
      </c>
      <c r="M211" s="16">
        <f t="shared" si="55"/>
        <v>107447.33</v>
      </c>
      <c r="N211" s="8">
        <f t="shared" si="56"/>
        <v>109005.9</v>
      </c>
    </row>
    <row r="212" spans="1:14" ht="12.75">
      <c r="A212" s="16" t="s">
        <v>43</v>
      </c>
      <c r="B212" s="16" t="s">
        <v>45</v>
      </c>
      <c r="C212" s="8"/>
      <c r="D212" s="25">
        <v>152.5</v>
      </c>
      <c r="E212" s="34">
        <v>6462.62</v>
      </c>
      <c r="F212" s="26">
        <v>6227.67</v>
      </c>
      <c r="G212" s="19">
        <f>ROUND((D212*F212)+(1.4*6462.62),2)</f>
        <v>958767.34</v>
      </c>
      <c r="H212" s="20">
        <f t="shared" si="58"/>
        <v>79897.28</v>
      </c>
      <c r="I212" s="20">
        <f t="shared" si="59"/>
        <v>-798.97</v>
      </c>
      <c r="J212" s="20">
        <f t="shared" si="60"/>
        <v>-798.97</v>
      </c>
      <c r="K212" s="20">
        <f t="shared" si="61"/>
        <v>-2396.92</v>
      </c>
      <c r="L212" s="14"/>
      <c r="M212" s="16">
        <f t="shared" si="55"/>
        <v>75902.42</v>
      </c>
      <c r="N212" s="8">
        <f t="shared" si="56"/>
        <v>76701.39</v>
      </c>
    </row>
    <row r="213" spans="1:14" ht="12.75">
      <c r="A213" s="16" t="s">
        <v>43</v>
      </c>
      <c r="B213" s="16" t="s">
        <v>46</v>
      </c>
      <c r="C213" s="8"/>
      <c r="D213" s="25">
        <v>363.5</v>
      </c>
      <c r="E213" s="25"/>
      <c r="F213" s="26">
        <v>6227.67</v>
      </c>
      <c r="G213" s="19">
        <f>ROUND(D213*F213,2)</f>
        <v>2263758.05</v>
      </c>
      <c r="H213" s="20">
        <f t="shared" si="58"/>
        <v>188646.5</v>
      </c>
      <c r="I213" s="20">
        <f t="shared" si="59"/>
        <v>-1886.47</v>
      </c>
      <c r="J213" s="20">
        <f t="shared" si="60"/>
        <v>-1886.47</v>
      </c>
      <c r="K213" s="20">
        <f t="shared" si="61"/>
        <v>-5659.4</v>
      </c>
      <c r="L213" s="20"/>
      <c r="M213" s="16">
        <f t="shared" si="55"/>
        <v>179214.16</v>
      </c>
      <c r="N213" s="8">
        <f t="shared" si="56"/>
        <v>181100.63</v>
      </c>
    </row>
    <row r="214" spans="1:14" ht="12.75">
      <c r="A214" s="16" t="s">
        <v>47</v>
      </c>
      <c r="B214" s="16" t="s">
        <v>48</v>
      </c>
      <c r="C214" s="8"/>
      <c r="D214" s="30">
        <v>436.5</v>
      </c>
      <c r="E214" s="15"/>
      <c r="F214" s="26">
        <v>6462.62</v>
      </c>
      <c r="G214" s="19">
        <f>ROUND(D214*F214,2)</f>
        <v>2820933.63</v>
      </c>
      <c r="H214" s="20">
        <f t="shared" si="58"/>
        <v>235077.8</v>
      </c>
      <c r="I214" s="20">
        <f t="shared" si="59"/>
        <v>-2350.78</v>
      </c>
      <c r="J214" s="20">
        <f t="shared" si="60"/>
        <v>-2350.78</v>
      </c>
      <c r="K214" s="20">
        <f t="shared" si="61"/>
        <v>-7052.33</v>
      </c>
      <c r="L214" s="20">
        <v>-31430</v>
      </c>
      <c r="M214" s="16">
        <f t="shared" si="55"/>
        <v>191893.91</v>
      </c>
      <c r="N214" s="8">
        <f t="shared" si="56"/>
        <v>194244.69</v>
      </c>
    </row>
    <row r="215" spans="1:14" ht="12.75">
      <c r="A215" s="8"/>
      <c r="B215" s="8"/>
      <c r="C215" s="8"/>
      <c r="D215" s="31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4:14" ht="12.75">
      <c r="D216" s="32">
        <f>SUM(D197:D215)</f>
        <v>7598.299999999999</v>
      </c>
      <c r="G216" s="1">
        <f aca="true" t="shared" si="62" ref="G216:N216">SUM(G197:G215)</f>
        <v>50016873.269999996</v>
      </c>
      <c r="H216" s="1">
        <f t="shared" si="62"/>
        <v>4168072.7699999996</v>
      </c>
      <c r="I216" s="1">
        <f t="shared" si="62"/>
        <v>-41680.73</v>
      </c>
      <c r="J216" s="1">
        <f t="shared" si="62"/>
        <v>-41680.73</v>
      </c>
      <c r="K216" s="1">
        <f t="shared" si="62"/>
        <v>-125042.18</v>
      </c>
      <c r="L216" s="1">
        <f t="shared" si="62"/>
        <v>-330458.94</v>
      </c>
      <c r="M216" s="1">
        <f t="shared" si="62"/>
        <v>3629210.1900000004</v>
      </c>
      <c r="N216" s="1">
        <f t="shared" si="62"/>
        <v>3670890.92</v>
      </c>
    </row>
    <row r="217" ht="12.75">
      <c r="A217" s="1" t="s">
        <v>8</v>
      </c>
    </row>
    <row r="218" ht="12.75">
      <c r="H218" s="1">
        <f>H193+H197</f>
        <v>7328941.800000001</v>
      </c>
    </row>
    <row r="220" spans="1:15" ht="51">
      <c r="A220" s="33" t="s">
        <v>60</v>
      </c>
      <c r="B220" s="11"/>
      <c r="C220" s="11"/>
      <c r="D220" s="12" t="s">
        <v>15</v>
      </c>
      <c r="E220" s="12" t="s">
        <v>16</v>
      </c>
      <c r="F220" s="12" t="s">
        <v>17</v>
      </c>
      <c r="G220" s="12" t="s">
        <v>18</v>
      </c>
      <c r="H220" s="12" t="s">
        <v>19</v>
      </c>
      <c r="I220" s="12" t="s">
        <v>20</v>
      </c>
      <c r="J220" s="12" t="s">
        <v>53</v>
      </c>
      <c r="K220" s="12" t="s">
        <v>21</v>
      </c>
      <c r="L220" s="12" t="s">
        <v>49</v>
      </c>
      <c r="M220" s="12" t="s">
        <v>58</v>
      </c>
      <c r="N220" s="12" t="s">
        <v>51</v>
      </c>
      <c r="O220" s="12" t="s">
        <v>22</v>
      </c>
    </row>
    <row r="221" spans="1:15" ht="12.75">
      <c r="A221" s="8"/>
      <c r="B221" s="8"/>
      <c r="C221" s="8"/>
      <c r="D221" s="13"/>
      <c r="E221" s="13"/>
      <c r="F221" s="14"/>
      <c r="G221" s="14"/>
      <c r="H221" s="14"/>
      <c r="I221" s="14"/>
      <c r="J221" s="14"/>
      <c r="K221" s="14"/>
      <c r="L221" s="14"/>
      <c r="M221" s="14"/>
      <c r="N221" s="15"/>
      <c r="O221" s="8"/>
    </row>
    <row r="222" spans="1:15" ht="12.75">
      <c r="A222" s="16" t="s">
        <v>23</v>
      </c>
      <c r="B222" s="16" t="s">
        <v>24</v>
      </c>
      <c r="C222" s="8"/>
      <c r="D222" s="32">
        <v>1884.7</v>
      </c>
      <c r="E222" s="17"/>
      <c r="F222" s="35">
        <v>6695.29</v>
      </c>
      <c r="G222" s="19">
        <f>ROUND(D222*F222,2)</f>
        <v>12618613.06</v>
      </c>
      <c r="H222" s="20">
        <f>ROUND(G222/12,2)</f>
        <v>1051551.09</v>
      </c>
      <c r="I222" s="20">
        <f>ROUND(G222/12*-0.01,2)</f>
        <v>-10515.51</v>
      </c>
      <c r="J222" s="20">
        <f>ROUND(G222/12*-0.01,2)</f>
        <v>-10515.51</v>
      </c>
      <c r="K222" s="20">
        <f>ROUND(G222/12*-0.03,2)</f>
        <v>-31546.53</v>
      </c>
      <c r="L222" s="21">
        <v>-195418.97</v>
      </c>
      <c r="M222" s="21">
        <v>31915.799999999996</v>
      </c>
      <c r="N222" s="16">
        <f aca="true" t="shared" si="63" ref="N222:N239">SUM(H222:M222)</f>
        <v>835470.3700000001</v>
      </c>
      <c r="O222" s="8">
        <f aca="true" t="shared" si="64" ref="O222:O239">ROUND(N222+(J222*-1),2)</f>
        <v>845985.88</v>
      </c>
    </row>
    <row r="223" spans="1:15" ht="12.75">
      <c r="A223" s="16" t="s">
        <v>25</v>
      </c>
      <c r="B223" s="16" t="s">
        <v>26</v>
      </c>
      <c r="C223" s="8"/>
      <c r="D223" s="32">
        <v>416.7</v>
      </c>
      <c r="E223" s="22"/>
      <c r="F223" s="23">
        <v>6540.72</v>
      </c>
      <c r="G223" s="19">
        <f aca="true" t="shared" si="65" ref="G223:G236">ROUND(D223*F223,2)</f>
        <v>2725518.02</v>
      </c>
      <c r="H223" s="20">
        <f aca="true" t="shared" si="66" ref="H223:H239">ROUND(G223/12,2)</f>
        <v>227126.5</v>
      </c>
      <c r="I223" s="20">
        <f aca="true" t="shared" si="67" ref="I223:I239">ROUND(G223/12*-0.01,2)</f>
        <v>-2271.27</v>
      </c>
      <c r="J223" s="20">
        <f aca="true" t="shared" si="68" ref="J223:J239">ROUND(G223/12*-0.01,2)</f>
        <v>-2271.27</v>
      </c>
      <c r="K223" s="20">
        <f aca="true" t="shared" si="69" ref="K223:K239">ROUND(G223/12*-0.03,2)</f>
        <v>-6813.8</v>
      </c>
      <c r="L223" s="21">
        <v>-1084.55</v>
      </c>
      <c r="M223" s="21">
        <v>-709.8000000000001</v>
      </c>
      <c r="N223" s="16">
        <f t="shared" si="63"/>
        <v>213975.81000000006</v>
      </c>
      <c r="O223" s="8">
        <f t="shared" si="64"/>
        <v>216247.08</v>
      </c>
    </row>
    <row r="224" spans="1:15" ht="12.75">
      <c r="A224" s="16" t="s">
        <v>5</v>
      </c>
      <c r="B224" s="16" t="s">
        <v>27</v>
      </c>
      <c r="C224" s="10"/>
      <c r="D224" s="32">
        <v>191</v>
      </c>
      <c r="E224" s="22"/>
      <c r="F224" s="23">
        <v>6541.59</v>
      </c>
      <c r="G224" s="19">
        <f t="shared" si="65"/>
        <v>1249443.69</v>
      </c>
      <c r="H224" s="20">
        <f t="shared" si="66"/>
        <v>104120.31</v>
      </c>
      <c r="I224" s="20">
        <f t="shared" si="67"/>
        <v>-1041.2</v>
      </c>
      <c r="J224" s="20">
        <f t="shared" si="68"/>
        <v>-1041.2</v>
      </c>
      <c r="K224" s="20">
        <f t="shared" si="69"/>
        <v>-3123.61</v>
      </c>
      <c r="L224" s="21"/>
      <c r="M224" s="21">
        <v>-70159.11</v>
      </c>
      <c r="N224" s="16">
        <f t="shared" si="63"/>
        <v>28755.190000000002</v>
      </c>
      <c r="O224" s="8">
        <f t="shared" si="64"/>
        <v>29796.39</v>
      </c>
    </row>
    <row r="225" spans="1:15" ht="12.75">
      <c r="A225" s="16" t="s">
        <v>5</v>
      </c>
      <c r="B225" s="16" t="s">
        <v>28</v>
      </c>
      <c r="C225" s="10"/>
      <c r="D225" s="32">
        <v>1343.5</v>
      </c>
      <c r="E225" s="22"/>
      <c r="F225" s="23">
        <v>6227.67</v>
      </c>
      <c r="G225" s="19">
        <f t="shared" si="65"/>
        <v>8366874.65</v>
      </c>
      <c r="H225" s="20">
        <f t="shared" si="66"/>
        <v>697239.55</v>
      </c>
      <c r="I225" s="20">
        <f t="shared" si="67"/>
        <v>-6972.4</v>
      </c>
      <c r="J225" s="20">
        <f t="shared" si="68"/>
        <v>-6972.4</v>
      </c>
      <c r="K225" s="20">
        <f t="shared" si="69"/>
        <v>-20917.19</v>
      </c>
      <c r="L225" s="21"/>
      <c r="M225" s="21">
        <v>0</v>
      </c>
      <c r="N225" s="16">
        <f t="shared" si="63"/>
        <v>662377.56</v>
      </c>
      <c r="O225" s="8">
        <f t="shared" si="64"/>
        <v>669349.96</v>
      </c>
    </row>
    <row r="226" spans="1:15" ht="12.75">
      <c r="A226" s="16" t="s">
        <v>5</v>
      </c>
      <c r="B226" s="16" t="s">
        <v>29</v>
      </c>
      <c r="C226" s="7"/>
      <c r="D226" s="32">
        <v>236.4</v>
      </c>
      <c r="E226" s="22"/>
      <c r="F226" s="23">
        <v>7168.84</v>
      </c>
      <c r="G226" s="19">
        <f t="shared" si="65"/>
        <v>1694713.78</v>
      </c>
      <c r="H226" s="20">
        <f t="shared" si="66"/>
        <v>141226.15</v>
      </c>
      <c r="I226" s="20">
        <f t="shared" si="67"/>
        <v>-1412.26</v>
      </c>
      <c r="J226" s="20">
        <f t="shared" si="68"/>
        <v>-1412.26</v>
      </c>
      <c r="K226" s="20">
        <f t="shared" si="69"/>
        <v>-4236.78</v>
      </c>
      <c r="L226" s="21"/>
      <c r="M226" s="21">
        <v>-337.82</v>
      </c>
      <c r="N226" s="16">
        <f t="shared" si="63"/>
        <v>133827.02999999997</v>
      </c>
      <c r="O226" s="8">
        <f t="shared" si="64"/>
        <v>135239.29</v>
      </c>
    </row>
    <row r="227" spans="1:15" ht="15.75" customHeight="1">
      <c r="A227" s="16" t="s">
        <v>30</v>
      </c>
      <c r="B227" s="16" t="s">
        <v>31</v>
      </c>
      <c r="C227" s="10"/>
      <c r="D227" s="32">
        <v>193.2</v>
      </c>
      <c r="E227" s="22"/>
      <c r="F227" s="23">
        <v>6850.53</v>
      </c>
      <c r="G227" s="19">
        <f t="shared" si="65"/>
        <v>1323522.4</v>
      </c>
      <c r="H227" s="20">
        <f t="shared" si="66"/>
        <v>110293.53</v>
      </c>
      <c r="I227" s="20">
        <f t="shared" si="67"/>
        <v>-1102.94</v>
      </c>
      <c r="J227" s="20">
        <f t="shared" si="68"/>
        <v>-1102.94</v>
      </c>
      <c r="K227" s="20">
        <f t="shared" si="69"/>
        <v>-3308.81</v>
      </c>
      <c r="L227" s="21"/>
      <c r="M227" s="21">
        <v>-27940.57</v>
      </c>
      <c r="N227" s="16">
        <f t="shared" si="63"/>
        <v>76838.26999999999</v>
      </c>
      <c r="O227" s="8">
        <f t="shared" si="64"/>
        <v>77941.21</v>
      </c>
    </row>
    <row r="228" spans="1:15" ht="16.5" customHeight="1">
      <c r="A228" s="16" t="s">
        <v>32</v>
      </c>
      <c r="B228" s="24" t="s">
        <v>33</v>
      </c>
      <c r="C228" s="10"/>
      <c r="D228" s="32">
        <v>254.9</v>
      </c>
      <c r="E228" s="25"/>
      <c r="F228" s="26">
        <v>6832.99</v>
      </c>
      <c r="G228" s="19">
        <f t="shared" si="65"/>
        <v>1741729.15</v>
      </c>
      <c r="H228" s="20">
        <f t="shared" si="66"/>
        <v>145144.1</v>
      </c>
      <c r="I228" s="20">
        <f t="shared" si="67"/>
        <v>-1451.44</v>
      </c>
      <c r="J228" s="20">
        <f t="shared" si="68"/>
        <v>-1451.44</v>
      </c>
      <c r="K228" s="20">
        <f t="shared" si="69"/>
        <v>-4354.32</v>
      </c>
      <c r="L228" s="21">
        <v>-17750</v>
      </c>
      <c r="M228" s="21">
        <v>25230.03</v>
      </c>
      <c r="N228" s="16">
        <f t="shared" si="63"/>
        <v>145366.93</v>
      </c>
      <c r="O228" s="8">
        <f t="shared" si="64"/>
        <v>146818.37</v>
      </c>
    </row>
    <row r="229" spans="1:15" ht="12.75">
      <c r="A229" s="16" t="s">
        <v>32</v>
      </c>
      <c r="B229" s="16" t="s">
        <v>34</v>
      </c>
      <c r="C229" s="10"/>
      <c r="D229" s="32">
        <v>214.5</v>
      </c>
      <c r="E229" s="25"/>
      <c r="F229" s="26">
        <v>6585.49</v>
      </c>
      <c r="G229" s="19">
        <f t="shared" si="65"/>
        <v>1412587.61</v>
      </c>
      <c r="H229" s="20">
        <f t="shared" si="66"/>
        <v>117715.63</v>
      </c>
      <c r="I229" s="20">
        <f t="shared" si="67"/>
        <v>-1177.16</v>
      </c>
      <c r="J229" s="20">
        <f t="shared" si="68"/>
        <v>-1177.16</v>
      </c>
      <c r="K229" s="20">
        <f t="shared" si="69"/>
        <v>-3531.47</v>
      </c>
      <c r="L229" s="21"/>
      <c r="M229" s="21">
        <v>-9737.21</v>
      </c>
      <c r="N229" s="16">
        <f t="shared" si="63"/>
        <v>102092.63</v>
      </c>
      <c r="O229" s="8">
        <f t="shared" si="64"/>
        <v>103269.79</v>
      </c>
    </row>
    <row r="230" spans="1:15" ht="12.75">
      <c r="A230" s="16" t="s">
        <v>32</v>
      </c>
      <c r="B230" s="27" t="s">
        <v>35</v>
      </c>
      <c r="C230" s="10"/>
      <c r="D230" s="32">
        <v>112</v>
      </c>
      <c r="E230" s="28"/>
      <c r="F230" s="26">
        <v>6430.25</v>
      </c>
      <c r="G230" s="19">
        <f t="shared" si="65"/>
        <v>720188</v>
      </c>
      <c r="H230" s="20">
        <f t="shared" si="66"/>
        <v>60015.67</v>
      </c>
      <c r="I230" s="20">
        <f t="shared" si="67"/>
        <v>-600.16</v>
      </c>
      <c r="J230" s="20">
        <f t="shared" si="68"/>
        <v>-600.16</v>
      </c>
      <c r="K230" s="20">
        <f t="shared" si="69"/>
        <v>-1800.47</v>
      </c>
      <c r="L230" s="21"/>
      <c r="M230" s="21">
        <v>-15226.61</v>
      </c>
      <c r="N230" s="16">
        <f t="shared" si="63"/>
        <v>41788.26999999999</v>
      </c>
      <c r="O230" s="8">
        <f t="shared" si="64"/>
        <v>42388.43</v>
      </c>
    </row>
    <row r="231" spans="1:15" ht="12.75">
      <c r="A231" s="16" t="s">
        <v>32</v>
      </c>
      <c r="B231" s="16" t="s">
        <v>36</v>
      </c>
      <c r="C231" s="8"/>
      <c r="D231" s="32">
        <v>385.2</v>
      </c>
      <c r="E231" s="25"/>
      <c r="F231" s="26">
        <v>6452.41</v>
      </c>
      <c r="G231" s="19">
        <f t="shared" si="65"/>
        <v>2485468.33</v>
      </c>
      <c r="H231" s="20">
        <f t="shared" si="66"/>
        <v>207122.36</v>
      </c>
      <c r="I231" s="20">
        <f t="shared" si="67"/>
        <v>-2071.22</v>
      </c>
      <c r="J231" s="20">
        <f t="shared" si="68"/>
        <v>-2071.22</v>
      </c>
      <c r="K231" s="20">
        <f t="shared" si="69"/>
        <v>-6213.67</v>
      </c>
      <c r="L231" s="29">
        <v>-44158.75</v>
      </c>
      <c r="M231" s="29">
        <v>-47389.23</v>
      </c>
      <c r="N231" s="16">
        <f t="shared" si="63"/>
        <v>105218.26999999996</v>
      </c>
      <c r="O231" s="8">
        <f t="shared" si="64"/>
        <v>107289.49</v>
      </c>
    </row>
    <row r="232" spans="1:15" ht="12.75">
      <c r="A232" s="16" t="s">
        <v>32</v>
      </c>
      <c r="B232" s="16" t="s">
        <v>37</v>
      </c>
      <c r="C232" s="10"/>
      <c r="D232" s="32">
        <v>502</v>
      </c>
      <c r="E232" s="25"/>
      <c r="F232" s="26">
        <v>6464.28</v>
      </c>
      <c r="G232" s="19">
        <f t="shared" si="65"/>
        <v>3245068.56</v>
      </c>
      <c r="H232" s="20">
        <f t="shared" si="66"/>
        <v>270422.38</v>
      </c>
      <c r="I232" s="20">
        <f t="shared" si="67"/>
        <v>-2704.22</v>
      </c>
      <c r="J232" s="20">
        <f t="shared" si="68"/>
        <v>-2704.22</v>
      </c>
      <c r="K232" s="20">
        <f t="shared" si="69"/>
        <v>-8112.67</v>
      </c>
      <c r="L232" s="21"/>
      <c r="M232" s="21">
        <v>-58282.630000000005</v>
      </c>
      <c r="N232" s="16">
        <f t="shared" si="63"/>
        <v>198618.64000000004</v>
      </c>
      <c r="O232" s="8">
        <f t="shared" si="64"/>
        <v>201322.86</v>
      </c>
    </row>
    <row r="233" spans="1:15" ht="12.75">
      <c r="A233" s="16" t="s">
        <v>32</v>
      </c>
      <c r="B233" s="16" t="s">
        <v>38</v>
      </c>
      <c r="C233" s="10"/>
      <c r="D233" s="32">
        <v>305</v>
      </c>
      <c r="E233" s="25"/>
      <c r="F233" s="26">
        <v>6407.89</v>
      </c>
      <c r="G233" s="19">
        <f t="shared" si="65"/>
        <v>1954406.45</v>
      </c>
      <c r="H233" s="20">
        <f t="shared" si="66"/>
        <v>162867.2</v>
      </c>
      <c r="I233" s="20">
        <f t="shared" si="67"/>
        <v>-1628.67</v>
      </c>
      <c r="J233" s="20">
        <f t="shared" si="68"/>
        <v>-1628.67</v>
      </c>
      <c r="K233" s="20">
        <f t="shared" si="69"/>
        <v>-4886.02</v>
      </c>
      <c r="L233" s="21"/>
      <c r="M233" s="21">
        <v>-45443.44</v>
      </c>
      <c r="N233" s="16">
        <f t="shared" si="63"/>
        <v>109280.4</v>
      </c>
      <c r="O233" s="8">
        <f t="shared" si="64"/>
        <v>110909.07</v>
      </c>
    </row>
    <row r="234" spans="1:15" ht="12.75">
      <c r="A234" s="16" t="s">
        <v>39</v>
      </c>
      <c r="B234" s="16" t="s">
        <v>40</v>
      </c>
      <c r="C234" s="8"/>
      <c r="D234" s="32">
        <v>189.3</v>
      </c>
      <c r="E234" s="25"/>
      <c r="F234" s="26">
        <v>6833.92</v>
      </c>
      <c r="G234" s="19">
        <f t="shared" si="65"/>
        <v>1293661.06</v>
      </c>
      <c r="H234" s="20">
        <f t="shared" si="66"/>
        <v>107805.09</v>
      </c>
      <c r="I234" s="20">
        <f t="shared" si="67"/>
        <v>-1078.05</v>
      </c>
      <c r="J234" s="20">
        <f t="shared" si="68"/>
        <v>-1078.05</v>
      </c>
      <c r="K234" s="20">
        <f t="shared" si="69"/>
        <v>-3234.15</v>
      </c>
      <c r="L234" s="21"/>
      <c r="M234" s="21">
        <v>-23871.68</v>
      </c>
      <c r="N234" s="16">
        <f t="shared" si="63"/>
        <v>78543.16</v>
      </c>
      <c r="O234" s="8">
        <f t="shared" si="64"/>
        <v>79621.21</v>
      </c>
    </row>
    <row r="235" spans="1:15" ht="12.75">
      <c r="A235" s="16" t="s">
        <v>41</v>
      </c>
      <c r="B235" s="16" t="s">
        <v>42</v>
      </c>
      <c r="C235" s="8"/>
      <c r="D235" s="32">
        <v>128</v>
      </c>
      <c r="E235" s="25"/>
      <c r="F235" s="26">
        <v>6550.73</v>
      </c>
      <c r="G235" s="19">
        <f t="shared" si="65"/>
        <v>838493.44</v>
      </c>
      <c r="H235" s="20">
        <f t="shared" si="66"/>
        <v>69874.45</v>
      </c>
      <c r="I235" s="20">
        <f t="shared" si="67"/>
        <v>-698.74</v>
      </c>
      <c r="J235" s="20">
        <f t="shared" si="68"/>
        <v>-698.74</v>
      </c>
      <c r="K235" s="20">
        <f t="shared" si="69"/>
        <v>-2096.23</v>
      </c>
      <c r="L235" s="21"/>
      <c r="M235" s="21">
        <v>-10539.970000000001</v>
      </c>
      <c r="N235" s="16">
        <f t="shared" si="63"/>
        <v>55840.76999999999</v>
      </c>
      <c r="O235" s="8">
        <f t="shared" si="64"/>
        <v>56539.51</v>
      </c>
    </row>
    <row r="236" spans="1:15" ht="12.75">
      <c r="A236" s="16" t="s">
        <v>43</v>
      </c>
      <c r="B236" s="15" t="s">
        <v>44</v>
      </c>
      <c r="C236" s="8"/>
      <c r="D236" s="32">
        <v>289.4</v>
      </c>
      <c r="E236" s="25"/>
      <c r="F236" s="26">
        <v>6379.24</v>
      </c>
      <c r="G236" s="19">
        <f t="shared" si="65"/>
        <v>1846152.06</v>
      </c>
      <c r="H236" s="20">
        <f t="shared" si="66"/>
        <v>153846.01</v>
      </c>
      <c r="I236" s="20">
        <f t="shared" si="67"/>
        <v>-1538.46</v>
      </c>
      <c r="J236" s="20">
        <f t="shared" si="68"/>
        <v>-1538.46</v>
      </c>
      <c r="K236" s="20">
        <f t="shared" si="69"/>
        <v>-4615.38</v>
      </c>
      <c r="L236" s="29">
        <v>-40616.67</v>
      </c>
      <c r="M236" s="29">
        <v>-14075.949999999999</v>
      </c>
      <c r="N236" s="16">
        <f t="shared" si="63"/>
        <v>91461.09000000003</v>
      </c>
      <c r="O236" s="8">
        <f t="shared" si="64"/>
        <v>92999.55</v>
      </c>
    </row>
    <row r="237" spans="1:15" ht="12.75">
      <c r="A237" s="16" t="s">
        <v>43</v>
      </c>
      <c r="B237" s="16" t="s">
        <v>45</v>
      </c>
      <c r="C237" s="8"/>
      <c r="D237" s="32">
        <v>152.5</v>
      </c>
      <c r="E237" s="34">
        <v>6462.62</v>
      </c>
      <c r="F237" s="26">
        <v>6227.67</v>
      </c>
      <c r="G237" s="19">
        <f>ROUND((D237*F237)+(1.4*6462.62),2)</f>
        <v>958767.34</v>
      </c>
      <c r="H237" s="20">
        <f t="shared" si="66"/>
        <v>79897.28</v>
      </c>
      <c r="I237" s="20">
        <f t="shared" si="67"/>
        <v>-798.97</v>
      </c>
      <c r="J237" s="20">
        <f t="shared" si="68"/>
        <v>-798.97</v>
      </c>
      <c r="K237" s="20">
        <f t="shared" si="69"/>
        <v>-2396.92</v>
      </c>
      <c r="L237" s="14"/>
      <c r="M237" s="14">
        <v>0</v>
      </c>
      <c r="N237" s="16">
        <f t="shared" si="63"/>
        <v>75902.42</v>
      </c>
      <c r="O237" s="8">
        <f t="shared" si="64"/>
        <v>76701.39</v>
      </c>
    </row>
    <row r="238" spans="1:15" ht="12.75">
      <c r="A238" s="16" t="s">
        <v>43</v>
      </c>
      <c r="B238" s="16" t="s">
        <v>46</v>
      </c>
      <c r="C238" s="8"/>
      <c r="D238" s="32">
        <v>363.5</v>
      </c>
      <c r="E238" s="25"/>
      <c r="F238" s="26">
        <v>6227.67</v>
      </c>
      <c r="G238" s="19">
        <f>ROUND(D238*F238,2)</f>
        <v>2263758.05</v>
      </c>
      <c r="H238" s="20">
        <f t="shared" si="66"/>
        <v>188646.5</v>
      </c>
      <c r="I238" s="20">
        <f t="shared" si="67"/>
        <v>-1886.47</v>
      </c>
      <c r="J238" s="20">
        <f t="shared" si="68"/>
        <v>-1886.47</v>
      </c>
      <c r="K238" s="20">
        <f t="shared" si="69"/>
        <v>-5659.4</v>
      </c>
      <c r="L238" s="20"/>
      <c r="M238" s="20">
        <v>0</v>
      </c>
      <c r="N238" s="16">
        <f t="shared" si="63"/>
        <v>179214.16</v>
      </c>
      <c r="O238" s="8">
        <f t="shared" si="64"/>
        <v>181100.63</v>
      </c>
    </row>
    <row r="239" spans="1:15" ht="12.75">
      <c r="A239" s="16" t="s">
        <v>47</v>
      </c>
      <c r="B239" s="16" t="s">
        <v>48</v>
      </c>
      <c r="C239" s="8"/>
      <c r="D239" s="32">
        <v>436.5</v>
      </c>
      <c r="E239" s="15"/>
      <c r="F239" s="26">
        <v>6040.86</v>
      </c>
      <c r="G239" s="19">
        <f>ROUND(D239*F239,2)</f>
        <v>2636835.39</v>
      </c>
      <c r="H239" s="20">
        <f t="shared" si="66"/>
        <v>219736.28</v>
      </c>
      <c r="I239" s="20">
        <f t="shared" si="67"/>
        <v>-2197.36</v>
      </c>
      <c r="J239" s="20">
        <f t="shared" si="68"/>
        <v>-2197.36</v>
      </c>
      <c r="K239" s="20">
        <f t="shared" si="69"/>
        <v>-6592.09</v>
      </c>
      <c r="L239" s="20">
        <v>-31430</v>
      </c>
      <c r="M239" s="20">
        <v>-107390.64</v>
      </c>
      <c r="N239" s="16">
        <f t="shared" si="63"/>
        <v>69928.83000000003</v>
      </c>
      <c r="O239" s="8">
        <f t="shared" si="64"/>
        <v>72126.19</v>
      </c>
    </row>
    <row r="240" spans="1:15" ht="12.75">
      <c r="A240" s="8"/>
      <c r="B240" s="8"/>
      <c r="C240" s="8"/>
      <c r="D240" s="3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4:15" ht="12.75">
      <c r="D241" s="32">
        <f>SUM(D222:D240)</f>
        <v>7598.299999999999</v>
      </c>
      <c r="G241" s="1">
        <f aca="true" t="shared" si="70" ref="G241:O241">SUM(G222:G240)</f>
        <v>49375801.04000001</v>
      </c>
      <c r="H241" s="1">
        <f t="shared" si="70"/>
        <v>4114650.079999999</v>
      </c>
      <c r="I241" s="1">
        <f t="shared" si="70"/>
        <v>-41146.5</v>
      </c>
      <c r="J241" s="1">
        <f t="shared" si="70"/>
        <v>-41146.5</v>
      </c>
      <c r="K241" s="1">
        <f t="shared" si="70"/>
        <v>-123439.51</v>
      </c>
      <c r="L241" s="1">
        <f t="shared" si="70"/>
        <v>-330458.94</v>
      </c>
      <c r="M241" s="1">
        <f t="shared" si="70"/>
        <v>-373958.83</v>
      </c>
      <c r="N241" s="1">
        <f t="shared" si="70"/>
        <v>3204499.8000000003</v>
      </c>
      <c r="O241" s="1">
        <f t="shared" si="70"/>
        <v>3245646.2999999993</v>
      </c>
    </row>
    <row r="243" spans="6:9" ht="12.75">
      <c r="F243" s="1">
        <f>H216+H241</f>
        <v>8282722.849999999</v>
      </c>
      <c r="G243" s="1">
        <f>G216-G241</f>
        <v>641072.2299999893</v>
      </c>
      <c r="H243" s="1">
        <f>H218+H222</f>
        <v>8380492.890000001</v>
      </c>
      <c r="I243" s="1">
        <f>H241+M241</f>
        <v>3740691.249999999</v>
      </c>
    </row>
    <row r="245" spans="1:15" ht="51">
      <c r="A245" s="36" t="s">
        <v>61</v>
      </c>
      <c r="B245" s="37"/>
      <c r="C245" s="37"/>
      <c r="D245" s="38" t="s">
        <v>15</v>
      </c>
      <c r="E245" s="38" t="s">
        <v>16</v>
      </c>
      <c r="F245" s="38" t="s">
        <v>17</v>
      </c>
      <c r="G245" s="38" t="s">
        <v>18</v>
      </c>
      <c r="H245" s="38" t="s">
        <v>19</v>
      </c>
      <c r="I245" s="38" t="s">
        <v>20</v>
      </c>
      <c r="J245" s="38" t="s">
        <v>53</v>
      </c>
      <c r="K245" s="38" t="s">
        <v>21</v>
      </c>
      <c r="L245" s="38" t="s">
        <v>49</v>
      </c>
      <c r="M245" s="38" t="s">
        <v>58</v>
      </c>
      <c r="N245" s="38" t="s">
        <v>51</v>
      </c>
      <c r="O245" s="38" t="s">
        <v>22</v>
      </c>
    </row>
    <row r="246" spans="1:15" ht="12.75">
      <c r="A246" s="39"/>
      <c r="B246" s="39"/>
      <c r="C246" s="39"/>
      <c r="D246" s="40"/>
      <c r="E246" s="40"/>
      <c r="F246" s="41"/>
      <c r="G246" s="41"/>
      <c r="H246" s="41"/>
      <c r="I246" s="41"/>
      <c r="J246" s="41"/>
      <c r="K246" s="41"/>
      <c r="L246" s="41"/>
      <c r="M246" s="41"/>
      <c r="N246" s="42"/>
      <c r="O246" s="39"/>
    </row>
    <row r="247" spans="1:15" ht="12.75">
      <c r="A247" s="43" t="s">
        <v>23</v>
      </c>
      <c r="B247" s="43" t="s">
        <v>24</v>
      </c>
      <c r="C247" s="39"/>
      <c r="D247" s="44">
        <v>1884.7</v>
      </c>
      <c r="E247" s="45"/>
      <c r="F247" s="46">
        <v>6428.35</v>
      </c>
      <c r="G247" s="47">
        <f>ROUND(D247*F247,2)</f>
        <v>12115511.25</v>
      </c>
      <c r="H247" s="48">
        <f>ROUND(G247/12,2)</f>
        <v>1009625.94</v>
      </c>
      <c r="I247" s="48">
        <f>ROUND(G247/12*-0.01,2)</f>
        <v>-10096.26</v>
      </c>
      <c r="J247" s="48">
        <f>ROUND(G247/12*-0.01,2)</f>
        <v>-10096.26</v>
      </c>
      <c r="K247" s="48">
        <f>ROUND(G247/12*-0.03,2)</f>
        <v>-30288.78</v>
      </c>
      <c r="L247" s="49">
        <v>-195418.97</v>
      </c>
      <c r="M247" s="49"/>
      <c r="N247" s="43">
        <f aca="true" t="shared" si="71" ref="N247:N264">SUM(H247:M247)</f>
        <v>763725.6699999999</v>
      </c>
      <c r="O247" s="39">
        <f aca="true" t="shared" si="72" ref="O247:O264">ROUND(N247+(J247*-1),2)</f>
        <v>773821.93</v>
      </c>
    </row>
    <row r="248" spans="1:15" ht="12.75">
      <c r="A248" s="43" t="s">
        <v>25</v>
      </c>
      <c r="B248" s="43" t="s">
        <v>26</v>
      </c>
      <c r="C248" s="39"/>
      <c r="D248" s="44">
        <v>416.7</v>
      </c>
      <c r="E248" s="50"/>
      <c r="F248" s="51">
        <v>6276.7</v>
      </c>
      <c r="G248" s="47">
        <f aca="true" t="shared" si="73" ref="G248:G261">ROUND(D248*F248,2)</f>
        <v>2615500.89</v>
      </c>
      <c r="H248" s="48">
        <f aca="true" t="shared" si="74" ref="H248:H264">ROUND(G248/12,2)</f>
        <v>217958.41</v>
      </c>
      <c r="I248" s="48">
        <f aca="true" t="shared" si="75" ref="I248:I264">ROUND(G248/12*-0.01,2)</f>
        <v>-2179.58</v>
      </c>
      <c r="J248" s="48">
        <f aca="true" t="shared" si="76" ref="J248:J264">ROUND(G248/12*-0.01,2)</f>
        <v>-2179.58</v>
      </c>
      <c r="K248" s="48">
        <f aca="true" t="shared" si="77" ref="K248:K264">ROUND(G248/12*-0.03,2)</f>
        <v>-6538.75</v>
      </c>
      <c r="L248" s="49">
        <v>-994.17</v>
      </c>
      <c r="M248" s="49"/>
      <c r="N248" s="43">
        <f t="shared" si="71"/>
        <v>206066.33000000002</v>
      </c>
      <c r="O248" s="39">
        <f t="shared" si="72"/>
        <v>208245.91</v>
      </c>
    </row>
    <row r="249" spans="1:15" ht="12.75">
      <c r="A249" s="43" t="s">
        <v>5</v>
      </c>
      <c r="B249" s="43" t="s">
        <v>27</v>
      </c>
      <c r="C249" s="52"/>
      <c r="D249" s="44">
        <v>191</v>
      </c>
      <c r="E249" s="50"/>
      <c r="F249" s="51">
        <v>6256.78</v>
      </c>
      <c r="G249" s="47">
        <f t="shared" si="73"/>
        <v>1195044.98</v>
      </c>
      <c r="H249" s="48">
        <f t="shared" si="74"/>
        <v>99587.08</v>
      </c>
      <c r="I249" s="48">
        <f t="shared" si="75"/>
        <v>-995.87</v>
      </c>
      <c r="J249" s="48">
        <f t="shared" si="76"/>
        <v>-995.87</v>
      </c>
      <c r="K249" s="48">
        <f t="shared" si="77"/>
        <v>-2987.61</v>
      </c>
      <c r="L249" s="49"/>
      <c r="M249" s="49"/>
      <c r="N249" s="43">
        <f t="shared" si="71"/>
        <v>94607.73000000001</v>
      </c>
      <c r="O249" s="39">
        <f t="shared" si="72"/>
        <v>95603.6</v>
      </c>
    </row>
    <row r="250" spans="1:15" ht="16.5" customHeight="1">
      <c r="A250" s="43" t="s">
        <v>5</v>
      </c>
      <c r="B250" s="43" t="s">
        <v>28</v>
      </c>
      <c r="C250" s="52"/>
      <c r="D250" s="44">
        <v>1343.5</v>
      </c>
      <c r="E250" s="50"/>
      <c r="F250" s="51">
        <v>5976.4</v>
      </c>
      <c r="G250" s="47">
        <f t="shared" si="73"/>
        <v>8029293.4</v>
      </c>
      <c r="H250" s="48">
        <f t="shared" si="74"/>
        <v>669107.78</v>
      </c>
      <c r="I250" s="48">
        <f t="shared" si="75"/>
        <v>-6691.08</v>
      </c>
      <c r="J250" s="48">
        <f t="shared" si="76"/>
        <v>-6691.08</v>
      </c>
      <c r="K250" s="48">
        <f t="shared" si="77"/>
        <v>-20073.23</v>
      </c>
      <c r="L250" s="49"/>
      <c r="M250" s="49"/>
      <c r="N250" s="43">
        <f t="shared" si="71"/>
        <v>635652.3900000001</v>
      </c>
      <c r="O250" s="39">
        <f t="shared" si="72"/>
        <v>642343.47</v>
      </c>
    </row>
    <row r="251" spans="1:15" ht="12.75">
      <c r="A251" s="43" t="s">
        <v>5</v>
      </c>
      <c r="B251" s="43" t="s">
        <v>29</v>
      </c>
      <c r="C251" s="53"/>
      <c r="D251" s="44">
        <v>236.4</v>
      </c>
      <c r="E251" s="50"/>
      <c r="F251" s="51">
        <v>6884.03</v>
      </c>
      <c r="G251" s="47">
        <f t="shared" si="73"/>
        <v>1627384.69</v>
      </c>
      <c r="H251" s="48">
        <f t="shared" si="74"/>
        <v>135615.39</v>
      </c>
      <c r="I251" s="48">
        <f t="shared" si="75"/>
        <v>-1356.15</v>
      </c>
      <c r="J251" s="48">
        <f t="shared" si="76"/>
        <v>-1356.15</v>
      </c>
      <c r="K251" s="48">
        <f t="shared" si="77"/>
        <v>-4068.46</v>
      </c>
      <c r="L251" s="49"/>
      <c r="M251" s="49"/>
      <c r="N251" s="43">
        <f t="shared" si="71"/>
        <v>128834.63000000002</v>
      </c>
      <c r="O251" s="39">
        <f t="shared" si="72"/>
        <v>130190.78</v>
      </c>
    </row>
    <row r="252" spans="1:15" ht="12.75">
      <c r="A252" s="43" t="s">
        <v>30</v>
      </c>
      <c r="B252" s="43" t="s">
        <v>31</v>
      </c>
      <c r="C252" s="52"/>
      <c r="D252" s="44">
        <v>193.2</v>
      </c>
      <c r="E252" s="50"/>
      <c r="F252" s="51">
        <v>6564.13</v>
      </c>
      <c r="G252" s="47">
        <f t="shared" si="73"/>
        <v>1268189.92</v>
      </c>
      <c r="H252" s="48">
        <f t="shared" si="74"/>
        <v>105682.49</v>
      </c>
      <c r="I252" s="48">
        <f t="shared" si="75"/>
        <v>-1056.82</v>
      </c>
      <c r="J252" s="48">
        <f t="shared" si="76"/>
        <v>-1056.82</v>
      </c>
      <c r="K252" s="48">
        <f t="shared" si="77"/>
        <v>-3170.47</v>
      </c>
      <c r="L252" s="49"/>
      <c r="M252" s="49"/>
      <c r="N252" s="43">
        <f t="shared" si="71"/>
        <v>100398.37999999999</v>
      </c>
      <c r="O252" s="39">
        <f t="shared" si="72"/>
        <v>101455.2</v>
      </c>
    </row>
    <row r="253" spans="1:15" ht="15" customHeight="1">
      <c r="A253" s="43" t="s">
        <v>32</v>
      </c>
      <c r="B253" s="54" t="s">
        <v>33</v>
      </c>
      <c r="C253" s="52"/>
      <c r="D253" s="44">
        <v>254.9</v>
      </c>
      <c r="E253" s="55"/>
      <c r="F253" s="56">
        <v>6564.18</v>
      </c>
      <c r="G253" s="47">
        <f t="shared" si="73"/>
        <v>1673209.48</v>
      </c>
      <c r="H253" s="48">
        <f t="shared" si="74"/>
        <v>139434.12</v>
      </c>
      <c r="I253" s="48">
        <f t="shared" si="75"/>
        <v>-1394.34</v>
      </c>
      <c r="J253" s="48">
        <f t="shared" si="76"/>
        <v>-1394.34</v>
      </c>
      <c r="K253" s="48">
        <f t="shared" si="77"/>
        <v>-4183.02</v>
      </c>
      <c r="L253" s="49">
        <v>-17750</v>
      </c>
      <c r="M253" s="49"/>
      <c r="N253" s="43">
        <f t="shared" si="71"/>
        <v>114712.42000000001</v>
      </c>
      <c r="O253" s="39">
        <f t="shared" si="72"/>
        <v>116106.76</v>
      </c>
    </row>
    <row r="254" spans="1:15" ht="12.75">
      <c r="A254" s="43" t="s">
        <v>32</v>
      </c>
      <c r="B254" s="43" t="s">
        <v>34</v>
      </c>
      <c r="C254" s="52"/>
      <c r="D254" s="44">
        <v>214.5</v>
      </c>
      <c r="E254" s="55"/>
      <c r="F254" s="56">
        <v>6316.68</v>
      </c>
      <c r="G254" s="47">
        <f t="shared" si="73"/>
        <v>1354927.86</v>
      </c>
      <c r="H254" s="48">
        <f t="shared" si="74"/>
        <v>112910.66</v>
      </c>
      <c r="I254" s="48">
        <f t="shared" si="75"/>
        <v>-1129.11</v>
      </c>
      <c r="J254" s="48">
        <f t="shared" si="76"/>
        <v>-1129.11</v>
      </c>
      <c r="K254" s="48">
        <f t="shared" si="77"/>
        <v>-3387.32</v>
      </c>
      <c r="L254" s="49"/>
      <c r="M254" s="49"/>
      <c r="N254" s="43">
        <f t="shared" si="71"/>
        <v>107265.12</v>
      </c>
      <c r="O254" s="39">
        <f t="shared" si="72"/>
        <v>108394.23</v>
      </c>
    </row>
    <row r="255" spans="1:15" ht="12.75">
      <c r="A255" s="43" t="s">
        <v>32</v>
      </c>
      <c r="B255" s="57" t="s">
        <v>35</v>
      </c>
      <c r="C255" s="52"/>
      <c r="D255" s="44">
        <v>112</v>
      </c>
      <c r="E255" s="58"/>
      <c r="F255" s="56">
        <v>6161.44</v>
      </c>
      <c r="G255" s="47">
        <f t="shared" si="73"/>
        <v>690081.28</v>
      </c>
      <c r="H255" s="48">
        <f t="shared" si="74"/>
        <v>57506.77</v>
      </c>
      <c r="I255" s="48">
        <f t="shared" si="75"/>
        <v>-575.07</v>
      </c>
      <c r="J255" s="48">
        <f t="shared" si="76"/>
        <v>-575.07</v>
      </c>
      <c r="K255" s="48">
        <f t="shared" si="77"/>
        <v>-1725.2</v>
      </c>
      <c r="L255" s="49"/>
      <c r="M255" s="49"/>
      <c r="N255" s="43">
        <f t="shared" si="71"/>
        <v>54631.43</v>
      </c>
      <c r="O255" s="39">
        <f t="shared" si="72"/>
        <v>55206.5</v>
      </c>
    </row>
    <row r="256" spans="1:15" ht="12.75">
      <c r="A256" s="43" t="s">
        <v>32</v>
      </c>
      <c r="B256" s="43" t="s">
        <v>36</v>
      </c>
      <c r="C256" s="39"/>
      <c r="D256" s="44">
        <v>385.2</v>
      </c>
      <c r="E256" s="55"/>
      <c r="F256" s="56">
        <v>6183.6</v>
      </c>
      <c r="G256" s="47">
        <f t="shared" si="73"/>
        <v>2381922.72</v>
      </c>
      <c r="H256" s="48">
        <f t="shared" si="74"/>
        <v>198493.56</v>
      </c>
      <c r="I256" s="48">
        <f t="shared" si="75"/>
        <v>-1984.94</v>
      </c>
      <c r="J256" s="48">
        <f t="shared" si="76"/>
        <v>-1984.94</v>
      </c>
      <c r="K256" s="48">
        <f t="shared" si="77"/>
        <v>-5954.81</v>
      </c>
      <c r="L256" s="59">
        <v>-44158.75</v>
      </c>
      <c r="M256" s="59"/>
      <c r="N256" s="43">
        <f t="shared" si="71"/>
        <v>144410.12</v>
      </c>
      <c r="O256" s="39">
        <f t="shared" si="72"/>
        <v>146395.06</v>
      </c>
    </row>
    <row r="257" spans="1:15" ht="12.75">
      <c r="A257" s="43" t="s">
        <v>32</v>
      </c>
      <c r="B257" s="43" t="s">
        <v>37</v>
      </c>
      <c r="C257" s="52"/>
      <c r="D257" s="44">
        <v>502</v>
      </c>
      <c r="E257" s="55"/>
      <c r="F257" s="56">
        <v>6195.47</v>
      </c>
      <c r="G257" s="47">
        <f t="shared" si="73"/>
        <v>3110125.94</v>
      </c>
      <c r="H257" s="48">
        <f t="shared" si="74"/>
        <v>259177.16</v>
      </c>
      <c r="I257" s="48">
        <f t="shared" si="75"/>
        <v>-2591.77</v>
      </c>
      <c r="J257" s="48">
        <f t="shared" si="76"/>
        <v>-2591.77</v>
      </c>
      <c r="K257" s="48">
        <f t="shared" si="77"/>
        <v>-7775.31</v>
      </c>
      <c r="L257" s="49"/>
      <c r="M257" s="49"/>
      <c r="N257" s="43">
        <f t="shared" si="71"/>
        <v>246218.31000000003</v>
      </c>
      <c r="O257" s="39">
        <f t="shared" si="72"/>
        <v>248810.08</v>
      </c>
    </row>
    <row r="258" spans="1:15" ht="12.75">
      <c r="A258" s="43" t="s">
        <v>32</v>
      </c>
      <c r="B258" s="43" t="s">
        <v>38</v>
      </c>
      <c r="C258" s="52"/>
      <c r="D258" s="44">
        <v>305</v>
      </c>
      <c r="E258" s="55"/>
      <c r="F258" s="56">
        <v>6139.08</v>
      </c>
      <c r="G258" s="47">
        <f t="shared" si="73"/>
        <v>1872419.4</v>
      </c>
      <c r="H258" s="48">
        <f t="shared" si="74"/>
        <v>156034.95</v>
      </c>
      <c r="I258" s="48">
        <f t="shared" si="75"/>
        <v>-1560.35</v>
      </c>
      <c r="J258" s="48">
        <f t="shared" si="76"/>
        <v>-1560.35</v>
      </c>
      <c r="K258" s="48">
        <f t="shared" si="77"/>
        <v>-4681.05</v>
      </c>
      <c r="L258" s="49"/>
      <c r="M258" s="49"/>
      <c r="N258" s="43">
        <f t="shared" si="71"/>
        <v>148233.2</v>
      </c>
      <c r="O258" s="39">
        <f t="shared" si="72"/>
        <v>149793.55</v>
      </c>
    </row>
    <row r="259" spans="1:15" ht="12.75">
      <c r="A259" s="43" t="s">
        <v>39</v>
      </c>
      <c r="B259" s="43" t="s">
        <v>40</v>
      </c>
      <c r="C259" s="39"/>
      <c r="D259" s="44">
        <v>189.3</v>
      </c>
      <c r="E259" s="55"/>
      <c r="F259" s="56">
        <v>6549.47</v>
      </c>
      <c r="G259" s="47">
        <f t="shared" si="73"/>
        <v>1239814.67</v>
      </c>
      <c r="H259" s="48">
        <f t="shared" si="74"/>
        <v>103317.89</v>
      </c>
      <c r="I259" s="48">
        <f t="shared" si="75"/>
        <v>-1033.18</v>
      </c>
      <c r="J259" s="48">
        <f t="shared" si="76"/>
        <v>-1033.18</v>
      </c>
      <c r="K259" s="48">
        <f t="shared" si="77"/>
        <v>-3099.54</v>
      </c>
      <c r="L259" s="49"/>
      <c r="M259" s="49"/>
      <c r="N259" s="43">
        <f t="shared" si="71"/>
        <v>98151.99000000002</v>
      </c>
      <c r="O259" s="39">
        <f t="shared" si="72"/>
        <v>99185.17</v>
      </c>
    </row>
    <row r="260" spans="1:15" ht="12.75">
      <c r="A260" s="43" t="s">
        <v>41</v>
      </c>
      <c r="B260" s="43" t="s">
        <v>42</v>
      </c>
      <c r="C260" s="39"/>
      <c r="D260" s="44">
        <v>128</v>
      </c>
      <c r="E260" s="55"/>
      <c r="F260" s="56">
        <v>6280.73</v>
      </c>
      <c r="G260" s="47">
        <f t="shared" si="73"/>
        <v>803933.44</v>
      </c>
      <c r="H260" s="48">
        <f t="shared" si="74"/>
        <v>66994.45</v>
      </c>
      <c r="I260" s="48">
        <f t="shared" si="75"/>
        <v>-669.94</v>
      </c>
      <c r="J260" s="48">
        <f t="shared" si="76"/>
        <v>-669.94</v>
      </c>
      <c r="K260" s="48">
        <f t="shared" si="77"/>
        <v>-2009.83</v>
      </c>
      <c r="L260" s="49"/>
      <c r="M260" s="49"/>
      <c r="N260" s="43">
        <f t="shared" si="71"/>
        <v>63644.73999999999</v>
      </c>
      <c r="O260" s="39">
        <f t="shared" si="72"/>
        <v>64314.68</v>
      </c>
    </row>
    <row r="261" spans="1:15" ht="12.75">
      <c r="A261" s="43" t="s">
        <v>43</v>
      </c>
      <c r="B261" s="42" t="s">
        <v>44</v>
      </c>
      <c r="C261" s="39"/>
      <c r="D261" s="44">
        <v>289.4</v>
      </c>
      <c r="E261" s="55"/>
      <c r="F261" s="56">
        <v>6118.72</v>
      </c>
      <c r="G261" s="47">
        <f t="shared" si="73"/>
        <v>1770757.57</v>
      </c>
      <c r="H261" s="48">
        <f t="shared" si="74"/>
        <v>147563.13</v>
      </c>
      <c r="I261" s="48">
        <f t="shared" si="75"/>
        <v>-1475.63</v>
      </c>
      <c r="J261" s="48">
        <f t="shared" si="76"/>
        <v>-1475.63</v>
      </c>
      <c r="K261" s="48">
        <f t="shared" si="77"/>
        <v>-4426.89</v>
      </c>
      <c r="L261" s="59">
        <v>-40616.67</v>
      </c>
      <c r="M261" s="59"/>
      <c r="N261" s="43">
        <f t="shared" si="71"/>
        <v>99568.30999999998</v>
      </c>
      <c r="O261" s="39">
        <f t="shared" si="72"/>
        <v>101043.94</v>
      </c>
    </row>
    <row r="262" spans="1:15" ht="12.75">
      <c r="A262" s="43" t="s">
        <v>43</v>
      </c>
      <c r="B262" s="43" t="s">
        <v>45</v>
      </c>
      <c r="C262" s="39"/>
      <c r="D262" s="44">
        <v>152.5</v>
      </c>
      <c r="E262" s="60">
        <v>6201.87</v>
      </c>
      <c r="F262" s="51">
        <v>5976.4</v>
      </c>
      <c r="G262" s="47">
        <f>ROUND((D262*F262)+(1.4*6201.87),2)</f>
        <v>920083.62</v>
      </c>
      <c r="H262" s="48">
        <f t="shared" si="74"/>
        <v>76673.64</v>
      </c>
      <c r="I262" s="48">
        <f t="shared" si="75"/>
        <v>-766.74</v>
      </c>
      <c r="J262" s="48">
        <f t="shared" si="76"/>
        <v>-766.74</v>
      </c>
      <c r="K262" s="48">
        <f t="shared" si="77"/>
        <v>-2300.21</v>
      </c>
      <c r="L262" s="41"/>
      <c r="M262" s="41"/>
      <c r="N262" s="43">
        <f t="shared" si="71"/>
        <v>72839.94999999998</v>
      </c>
      <c r="O262" s="39">
        <f t="shared" si="72"/>
        <v>73606.69</v>
      </c>
    </row>
    <row r="263" spans="1:15" ht="12.75">
      <c r="A263" s="43" t="s">
        <v>43</v>
      </c>
      <c r="B263" s="43" t="s">
        <v>46</v>
      </c>
      <c r="C263" s="39"/>
      <c r="D263" s="44">
        <v>363.5</v>
      </c>
      <c r="E263" s="55"/>
      <c r="F263" s="51">
        <v>5976.4</v>
      </c>
      <c r="G263" s="47">
        <f>ROUND(D263*F263,2)</f>
        <v>2172421.4</v>
      </c>
      <c r="H263" s="48">
        <f t="shared" si="74"/>
        <v>181035.12</v>
      </c>
      <c r="I263" s="48">
        <f t="shared" si="75"/>
        <v>-1810.35</v>
      </c>
      <c r="J263" s="48">
        <f t="shared" si="76"/>
        <v>-1810.35</v>
      </c>
      <c r="K263" s="48">
        <f t="shared" si="77"/>
        <v>-5431.05</v>
      </c>
      <c r="L263" s="48"/>
      <c r="M263" s="48"/>
      <c r="N263" s="43">
        <f t="shared" si="71"/>
        <v>171983.37</v>
      </c>
      <c r="O263" s="39">
        <f t="shared" si="72"/>
        <v>173793.72</v>
      </c>
    </row>
    <row r="264" spans="1:15" ht="12.75">
      <c r="A264" s="43" t="s">
        <v>47</v>
      </c>
      <c r="B264" s="43" t="s">
        <v>48</v>
      </c>
      <c r="C264" s="39"/>
      <c r="D264" s="44">
        <v>436.5</v>
      </c>
      <c r="E264" s="42"/>
      <c r="F264" s="56">
        <v>5780.11</v>
      </c>
      <c r="G264" s="47">
        <f>ROUND(D264*F264,2)</f>
        <v>2523018.02</v>
      </c>
      <c r="H264" s="48">
        <f t="shared" si="74"/>
        <v>210251.5</v>
      </c>
      <c r="I264" s="48">
        <f t="shared" si="75"/>
        <v>-2102.52</v>
      </c>
      <c r="J264" s="48">
        <f t="shared" si="76"/>
        <v>-2102.52</v>
      </c>
      <c r="K264" s="48">
        <f t="shared" si="77"/>
        <v>-6307.55</v>
      </c>
      <c r="L264" s="48">
        <v>-31430</v>
      </c>
      <c r="M264" s="48"/>
      <c r="N264" s="43">
        <f t="shared" si="71"/>
        <v>168308.91000000003</v>
      </c>
      <c r="O264" s="39">
        <f t="shared" si="72"/>
        <v>170411.43</v>
      </c>
    </row>
    <row r="265" spans="1:15" ht="12.75">
      <c r="A265" s="39"/>
      <c r="B265" s="39"/>
      <c r="C265" s="39"/>
      <c r="D265" s="6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ht="12.75">
      <c r="A266" s="62"/>
      <c r="B266" s="62"/>
      <c r="C266" s="62"/>
      <c r="D266" s="44">
        <f>SUM(D247:D265)</f>
        <v>7598.299999999999</v>
      </c>
      <c r="E266" s="62"/>
      <c r="F266" s="62"/>
      <c r="G266" s="62">
        <f aca="true" t="shared" si="78" ref="G266:O266">SUM(G247:G265)</f>
        <v>47363640.53</v>
      </c>
      <c r="H266" s="62">
        <f t="shared" si="78"/>
        <v>3946970.0400000014</v>
      </c>
      <c r="I266" s="62">
        <f t="shared" si="78"/>
        <v>-39469.69999999999</v>
      </c>
      <c r="J266" s="62">
        <f t="shared" si="78"/>
        <v>-39469.69999999999</v>
      </c>
      <c r="K266" s="62">
        <f t="shared" si="78"/>
        <v>-118409.08</v>
      </c>
      <c r="L266" s="62">
        <f t="shared" si="78"/>
        <v>-330368.56</v>
      </c>
      <c r="M266" s="62">
        <f t="shared" si="78"/>
        <v>0</v>
      </c>
      <c r="N266" s="62">
        <f t="shared" si="78"/>
        <v>3419253.0000000014</v>
      </c>
      <c r="O266" s="62">
        <f t="shared" si="78"/>
        <v>3458722.7000000007</v>
      </c>
    </row>
    <row r="268" spans="15:16" ht="12.75">
      <c r="O268" s="1">
        <f>O266-K266</f>
        <v>3577131.7800000007</v>
      </c>
      <c r="P268" s="1" t="s">
        <v>65</v>
      </c>
    </row>
    <row r="270" spans="1:17" ht="86.25" customHeight="1">
      <c r="A270" s="63" t="s">
        <v>61</v>
      </c>
      <c r="B270" s="64"/>
      <c r="C270" s="64"/>
      <c r="D270" s="12" t="s">
        <v>15</v>
      </c>
      <c r="E270" s="12" t="s">
        <v>16</v>
      </c>
      <c r="F270" s="12" t="s">
        <v>17</v>
      </c>
      <c r="G270" s="12" t="s">
        <v>18</v>
      </c>
      <c r="H270" s="65" t="s">
        <v>62</v>
      </c>
      <c r="I270" s="65" t="s">
        <v>63</v>
      </c>
      <c r="J270" s="65" t="s">
        <v>64</v>
      </c>
      <c r="K270" s="12" t="s">
        <v>19</v>
      </c>
      <c r="L270" s="12" t="s">
        <v>20</v>
      </c>
      <c r="M270" s="12" t="s">
        <v>53</v>
      </c>
      <c r="N270" s="12" t="s">
        <v>21</v>
      </c>
      <c r="O270" s="12" t="s">
        <v>49</v>
      </c>
      <c r="P270" s="12" t="s">
        <v>51</v>
      </c>
      <c r="Q270" s="12" t="s">
        <v>22</v>
      </c>
    </row>
    <row r="273" spans="1:17" ht="12.75">
      <c r="A273" s="16" t="s">
        <v>23</v>
      </c>
      <c r="B273" s="16" t="s">
        <v>24</v>
      </c>
      <c r="D273" s="32">
        <v>1884.7</v>
      </c>
      <c r="F273" s="1">
        <v>6695.29</v>
      </c>
      <c r="G273" s="1">
        <v>12618613.06</v>
      </c>
      <c r="H273" s="1">
        <f>G273-I273</f>
        <v>10600596.950000001</v>
      </c>
      <c r="I273" s="1">
        <v>2018016.11</v>
      </c>
      <c r="J273" s="1">
        <f>H273-H243</f>
        <v>2220104.0600000005</v>
      </c>
      <c r="K273" s="1">
        <f>J273/4</f>
        <v>555026.0150000001</v>
      </c>
      <c r="L273" s="1">
        <f aca="true" t="shared" si="79" ref="L273:L290">ROUND(-H273*0.01/12,2)</f>
        <v>-8833.83</v>
      </c>
      <c r="M273" s="1">
        <v>-8833.83</v>
      </c>
      <c r="N273" s="1">
        <f aca="true" t="shared" si="80" ref="N273:N290">ROUND(-H273*0.03/12,2)</f>
        <v>-26501.49</v>
      </c>
      <c r="O273" s="1">
        <v>-195418.97</v>
      </c>
      <c r="P273" s="1">
        <f>K273+L273+M273+N273+O273</f>
        <v>315437.89500000025</v>
      </c>
      <c r="Q273" s="1">
        <f>P273-M273</f>
        <v>324271.72500000027</v>
      </c>
    </row>
    <row r="274" spans="1:17" ht="12.75">
      <c r="A274" s="16" t="s">
        <v>25</v>
      </c>
      <c r="B274" s="16" t="s">
        <v>26</v>
      </c>
      <c r="D274" s="32">
        <v>416.7</v>
      </c>
      <c r="F274" s="1">
        <v>6540.72</v>
      </c>
      <c r="G274" s="1">
        <v>2725518.02</v>
      </c>
      <c r="H274" s="1">
        <f>G274-I274</f>
        <v>2725518.02</v>
      </c>
      <c r="K274" s="1">
        <f aca="true" t="shared" si="81" ref="K274:K290">ROUND(H274/12,2)</f>
        <v>227126.5</v>
      </c>
      <c r="L274" s="1">
        <f t="shared" si="79"/>
        <v>-2271.27</v>
      </c>
      <c r="M274" s="1">
        <v>-2271.27</v>
      </c>
      <c r="N274" s="1">
        <f t="shared" si="80"/>
        <v>-6813.8</v>
      </c>
      <c r="O274" s="1">
        <v>-994.17</v>
      </c>
      <c r="P274" s="1">
        <f aca="true" t="shared" si="82" ref="P274:P290">K274+L274+M274+N274+O274</f>
        <v>214775.99000000002</v>
      </c>
      <c r="Q274" s="1">
        <f aca="true" t="shared" si="83" ref="Q274:Q290">P274-M274</f>
        <v>217047.26</v>
      </c>
    </row>
    <row r="275" spans="1:17" ht="12.75">
      <c r="A275" s="16" t="s">
        <v>5</v>
      </c>
      <c r="B275" s="16" t="s">
        <v>27</v>
      </c>
      <c r="D275" s="32">
        <v>191</v>
      </c>
      <c r="F275" s="1">
        <v>6541.59</v>
      </c>
      <c r="G275" s="1">
        <v>1249443.69</v>
      </c>
      <c r="H275" s="1">
        <v>1249443.69</v>
      </c>
      <c r="K275" s="1">
        <f t="shared" si="81"/>
        <v>104120.31</v>
      </c>
      <c r="L275" s="1">
        <f t="shared" si="79"/>
        <v>-1041.2</v>
      </c>
      <c r="M275" s="1">
        <v>-1041.2</v>
      </c>
      <c r="N275" s="1">
        <f t="shared" si="80"/>
        <v>-3123.61</v>
      </c>
      <c r="P275" s="1">
        <f t="shared" si="82"/>
        <v>98914.3</v>
      </c>
      <c r="Q275" s="1">
        <f t="shared" si="83"/>
        <v>99955.5</v>
      </c>
    </row>
    <row r="276" spans="1:17" ht="12.75">
      <c r="A276" s="16" t="s">
        <v>5</v>
      </c>
      <c r="B276" s="16" t="s">
        <v>28</v>
      </c>
      <c r="D276" s="32">
        <v>1343.5</v>
      </c>
      <c r="F276" s="1">
        <v>6227.67</v>
      </c>
      <c r="G276" s="1">
        <v>8366874.65</v>
      </c>
      <c r="H276" s="1">
        <v>8366874.65</v>
      </c>
      <c r="K276" s="1">
        <f t="shared" si="81"/>
        <v>697239.55</v>
      </c>
      <c r="L276" s="1">
        <f t="shared" si="79"/>
        <v>-6972.4</v>
      </c>
      <c r="M276" s="1">
        <v>-6972.4</v>
      </c>
      <c r="N276" s="1">
        <f t="shared" si="80"/>
        <v>-20917.19</v>
      </c>
      <c r="P276" s="1">
        <f t="shared" si="82"/>
        <v>662377.56</v>
      </c>
      <c r="Q276" s="1">
        <f t="shared" si="83"/>
        <v>669349.9600000001</v>
      </c>
    </row>
    <row r="277" spans="1:17" ht="12.75">
      <c r="A277" s="16" t="s">
        <v>5</v>
      </c>
      <c r="B277" s="16" t="s">
        <v>29</v>
      </c>
      <c r="D277" s="32">
        <v>236.4</v>
      </c>
      <c r="F277" s="1">
        <v>7168.84</v>
      </c>
      <c r="G277" s="1">
        <v>1694713.78</v>
      </c>
      <c r="H277" s="1">
        <v>1694713.78</v>
      </c>
      <c r="K277" s="1">
        <f t="shared" si="81"/>
        <v>141226.15</v>
      </c>
      <c r="L277" s="1">
        <f t="shared" si="79"/>
        <v>-1412.26</v>
      </c>
      <c r="M277" s="1">
        <v>-1412.26</v>
      </c>
      <c r="N277" s="1">
        <f t="shared" si="80"/>
        <v>-4236.78</v>
      </c>
      <c r="P277" s="1">
        <f t="shared" si="82"/>
        <v>134164.84999999998</v>
      </c>
      <c r="Q277" s="1">
        <f t="shared" si="83"/>
        <v>135577.11</v>
      </c>
    </row>
    <row r="278" spans="1:17" ht="12.75">
      <c r="A278" s="16" t="s">
        <v>30</v>
      </c>
      <c r="B278" s="16" t="s">
        <v>31</v>
      </c>
      <c r="D278" s="32">
        <v>193.2</v>
      </c>
      <c r="F278" s="1">
        <v>6850.53</v>
      </c>
      <c r="G278" s="1">
        <v>1323522.4</v>
      </c>
      <c r="H278" s="1">
        <v>1323522.4</v>
      </c>
      <c r="K278" s="1">
        <f t="shared" si="81"/>
        <v>110293.53</v>
      </c>
      <c r="L278" s="1">
        <f t="shared" si="79"/>
        <v>-1102.94</v>
      </c>
      <c r="M278" s="1">
        <v>-1102.94</v>
      </c>
      <c r="N278" s="1">
        <f t="shared" si="80"/>
        <v>-3308.81</v>
      </c>
      <c r="P278" s="1">
        <f t="shared" si="82"/>
        <v>104778.84</v>
      </c>
      <c r="Q278" s="1">
        <f t="shared" si="83"/>
        <v>105881.78</v>
      </c>
    </row>
    <row r="279" spans="1:17" ht="14.25" customHeight="1">
      <c r="A279" s="16" t="s">
        <v>32</v>
      </c>
      <c r="B279" s="24" t="s">
        <v>33</v>
      </c>
      <c r="D279" s="32">
        <v>254.9</v>
      </c>
      <c r="F279" s="1">
        <v>6832.99</v>
      </c>
      <c r="G279" s="1">
        <v>1741729.15</v>
      </c>
      <c r="H279" s="1">
        <v>1741729.15</v>
      </c>
      <c r="K279" s="1">
        <f t="shared" si="81"/>
        <v>145144.1</v>
      </c>
      <c r="L279" s="1">
        <f t="shared" si="79"/>
        <v>-1451.44</v>
      </c>
      <c r="M279" s="1">
        <v>-1451.44</v>
      </c>
      <c r="N279" s="1">
        <f t="shared" si="80"/>
        <v>-4354.32</v>
      </c>
      <c r="O279" s="1">
        <v>-17750</v>
      </c>
      <c r="P279" s="1">
        <f t="shared" si="82"/>
        <v>120136.9</v>
      </c>
      <c r="Q279" s="1">
        <f t="shared" si="83"/>
        <v>121588.34</v>
      </c>
    </row>
    <row r="280" spans="1:17" ht="12.75">
      <c r="A280" s="16" t="s">
        <v>32</v>
      </c>
      <c r="B280" s="16" t="s">
        <v>34</v>
      </c>
      <c r="D280" s="32">
        <v>214.5</v>
      </c>
      <c r="F280" s="1">
        <v>6585.49</v>
      </c>
      <c r="G280" s="1">
        <v>1412587.61</v>
      </c>
      <c r="H280" s="1">
        <v>1412587.61</v>
      </c>
      <c r="K280" s="1">
        <f t="shared" si="81"/>
        <v>117715.63</v>
      </c>
      <c r="L280" s="1">
        <f t="shared" si="79"/>
        <v>-1177.16</v>
      </c>
      <c r="M280" s="1">
        <v>-1177.16</v>
      </c>
      <c r="N280" s="1">
        <f t="shared" si="80"/>
        <v>-3531.47</v>
      </c>
      <c r="P280" s="1">
        <f t="shared" si="82"/>
        <v>111829.84</v>
      </c>
      <c r="Q280" s="1">
        <f t="shared" si="83"/>
        <v>113007</v>
      </c>
    </row>
    <row r="281" spans="1:17" ht="12.75">
      <c r="A281" s="16" t="s">
        <v>32</v>
      </c>
      <c r="B281" s="27" t="s">
        <v>35</v>
      </c>
      <c r="D281" s="32">
        <v>112</v>
      </c>
      <c r="F281" s="1">
        <v>6430.25</v>
      </c>
      <c r="G281" s="1">
        <v>720188</v>
      </c>
      <c r="H281" s="1">
        <v>720188</v>
      </c>
      <c r="K281" s="1">
        <f t="shared" si="81"/>
        <v>60015.67</v>
      </c>
      <c r="L281" s="1">
        <f t="shared" si="79"/>
        <v>-600.16</v>
      </c>
      <c r="M281" s="1">
        <v>-600.16</v>
      </c>
      <c r="N281" s="1">
        <f t="shared" si="80"/>
        <v>-1800.47</v>
      </c>
      <c r="P281" s="1">
        <f t="shared" si="82"/>
        <v>57014.87999999999</v>
      </c>
      <c r="Q281" s="1">
        <f t="shared" si="83"/>
        <v>57615.03999999999</v>
      </c>
    </row>
    <row r="282" spans="1:17" ht="12.75">
      <c r="A282" s="16" t="s">
        <v>32</v>
      </c>
      <c r="B282" s="16" t="s">
        <v>36</v>
      </c>
      <c r="D282" s="32">
        <v>385.2</v>
      </c>
      <c r="F282" s="1">
        <v>6452.41</v>
      </c>
      <c r="G282" s="1">
        <v>2485468.33</v>
      </c>
      <c r="H282" s="1">
        <v>2485468.33</v>
      </c>
      <c r="K282" s="1">
        <f t="shared" si="81"/>
        <v>207122.36</v>
      </c>
      <c r="L282" s="1">
        <f t="shared" si="79"/>
        <v>-2071.22</v>
      </c>
      <c r="M282" s="1">
        <v>-2071.22</v>
      </c>
      <c r="N282" s="1">
        <f t="shared" si="80"/>
        <v>-6213.67</v>
      </c>
      <c r="O282" s="1">
        <v>-44158.75</v>
      </c>
      <c r="P282" s="1">
        <f t="shared" si="82"/>
        <v>152607.49999999997</v>
      </c>
      <c r="Q282" s="1">
        <f t="shared" si="83"/>
        <v>154678.71999999997</v>
      </c>
    </row>
    <row r="283" spans="1:17" ht="12.75">
      <c r="A283" s="16" t="s">
        <v>32</v>
      </c>
      <c r="B283" s="16" t="s">
        <v>37</v>
      </c>
      <c r="D283" s="32">
        <v>502</v>
      </c>
      <c r="F283" s="1">
        <v>6464.28</v>
      </c>
      <c r="G283" s="1">
        <v>3245068.56</v>
      </c>
      <c r="H283" s="1">
        <f>G283-I283</f>
        <v>3245068.56</v>
      </c>
      <c r="K283" s="1">
        <f t="shared" si="81"/>
        <v>270422.38</v>
      </c>
      <c r="L283" s="1">
        <f t="shared" si="79"/>
        <v>-2704.22</v>
      </c>
      <c r="M283" s="1">
        <v>-2704.22</v>
      </c>
      <c r="N283" s="1">
        <f t="shared" si="80"/>
        <v>-8112.67</v>
      </c>
      <c r="P283" s="1">
        <f t="shared" si="82"/>
        <v>256901.27000000005</v>
      </c>
      <c r="Q283" s="1">
        <f t="shared" si="83"/>
        <v>259605.49000000005</v>
      </c>
    </row>
    <row r="284" spans="1:17" ht="12.75">
      <c r="A284" s="16" t="s">
        <v>32</v>
      </c>
      <c r="B284" s="16" t="s">
        <v>38</v>
      </c>
      <c r="D284" s="32">
        <v>305</v>
      </c>
      <c r="F284" s="1">
        <v>6407.89</v>
      </c>
      <c r="G284" s="1">
        <v>1954406.45</v>
      </c>
      <c r="H284" s="1">
        <v>1954406.45</v>
      </c>
      <c r="K284" s="1">
        <f t="shared" si="81"/>
        <v>162867.2</v>
      </c>
      <c r="L284" s="1">
        <f t="shared" si="79"/>
        <v>-1628.67</v>
      </c>
      <c r="M284" s="1">
        <v>-1628.67</v>
      </c>
      <c r="N284" s="1">
        <f t="shared" si="80"/>
        <v>-4886.02</v>
      </c>
      <c r="P284" s="1">
        <f t="shared" si="82"/>
        <v>154723.84</v>
      </c>
      <c r="Q284" s="1">
        <f t="shared" si="83"/>
        <v>156352.51</v>
      </c>
    </row>
    <row r="285" spans="1:17" ht="12.75">
      <c r="A285" s="16" t="s">
        <v>39</v>
      </c>
      <c r="B285" s="16" t="s">
        <v>40</v>
      </c>
      <c r="D285" s="32">
        <v>189.3</v>
      </c>
      <c r="F285" s="1">
        <v>6833.92</v>
      </c>
      <c r="G285" s="1">
        <v>1293661.06</v>
      </c>
      <c r="H285" s="1">
        <v>1293661.06</v>
      </c>
      <c r="K285" s="1">
        <f t="shared" si="81"/>
        <v>107805.09</v>
      </c>
      <c r="L285" s="1">
        <f t="shared" si="79"/>
        <v>-1078.05</v>
      </c>
      <c r="M285" s="1">
        <v>-1078.05</v>
      </c>
      <c r="N285" s="1">
        <f t="shared" si="80"/>
        <v>-3234.15</v>
      </c>
      <c r="P285" s="1">
        <f t="shared" si="82"/>
        <v>102414.84</v>
      </c>
      <c r="Q285" s="1">
        <f t="shared" si="83"/>
        <v>103492.89</v>
      </c>
    </row>
    <row r="286" spans="1:17" ht="12.75">
      <c r="A286" s="16" t="s">
        <v>41</v>
      </c>
      <c r="B286" s="16" t="s">
        <v>42</v>
      </c>
      <c r="D286" s="32">
        <v>128</v>
      </c>
      <c r="F286" s="1">
        <v>6550.73</v>
      </c>
      <c r="G286" s="1">
        <v>838493.44</v>
      </c>
      <c r="H286" s="1">
        <v>838493.44</v>
      </c>
      <c r="K286" s="1">
        <f t="shared" si="81"/>
        <v>69874.45</v>
      </c>
      <c r="L286" s="1">
        <f t="shared" si="79"/>
        <v>-698.74</v>
      </c>
      <c r="M286" s="1">
        <v>-698.74</v>
      </c>
      <c r="N286" s="1">
        <f t="shared" si="80"/>
        <v>-2096.23</v>
      </c>
      <c r="P286" s="1">
        <f t="shared" si="82"/>
        <v>66380.73999999999</v>
      </c>
      <c r="Q286" s="1">
        <f t="shared" si="83"/>
        <v>67079.48</v>
      </c>
    </row>
    <row r="287" spans="1:17" ht="12.75">
      <c r="A287" s="16" t="s">
        <v>43</v>
      </c>
      <c r="B287" s="15" t="s">
        <v>44</v>
      </c>
      <c r="D287" s="32">
        <v>289.4</v>
      </c>
      <c r="F287" s="1">
        <v>6379.24</v>
      </c>
      <c r="G287" s="1">
        <v>1846152.06</v>
      </c>
      <c r="H287" s="1">
        <v>1846152.06</v>
      </c>
      <c r="K287" s="1">
        <f t="shared" si="81"/>
        <v>153846.01</v>
      </c>
      <c r="L287" s="1">
        <f t="shared" si="79"/>
        <v>-1538.46</v>
      </c>
      <c r="M287" s="1">
        <v>-1538.46</v>
      </c>
      <c r="N287" s="1">
        <f t="shared" si="80"/>
        <v>-4615.38</v>
      </c>
      <c r="O287" s="1">
        <v>-40616.67</v>
      </c>
      <c r="P287" s="1">
        <f t="shared" si="82"/>
        <v>105537.04000000002</v>
      </c>
      <c r="Q287" s="1">
        <f t="shared" si="83"/>
        <v>107075.50000000003</v>
      </c>
    </row>
    <row r="288" spans="1:17" ht="12.75">
      <c r="A288" s="16" t="s">
        <v>43</v>
      </c>
      <c r="B288" s="16" t="s">
        <v>45</v>
      </c>
      <c r="D288" s="32">
        <v>152.5</v>
      </c>
      <c r="E288" s="1">
        <v>6462.62</v>
      </c>
      <c r="F288" s="1">
        <v>6227.67</v>
      </c>
      <c r="G288" s="1">
        <v>958767.34</v>
      </c>
      <c r="H288" s="1">
        <v>958767.34</v>
      </c>
      <c r="K288" s="1">
        <f t="shared" si="81"/>
        <v>79897.28</v>
      </c>
      <c r="L288" s="1">
        <f t="shared" si="79"/>
        <v>-798.97</v>
      </c>
      <c r="M288" s="1">
        <v>-798.97</v>
      </c>
      <c r="N288" s="1">
        <f t="shared" si="80"/>
        <v>-2396.92</v>
      </c>
      <c r="P288" s="1">
        <f t="shared" si="82"/>
        <v>75902.42</v>
      </c>
      <c r="Q288" s="1">
        <f t="shared" si="83"/>
        <v>76701.39</v>
      </c>
    </row>
    <row r="289" spans="1:17" ht="12.75">
      <c r="A289" s="16" t="s">
        <v>43</v>
      </c>
      <c r="B289" s="16" t="s">
        <v>46</v>
      </c>
      <c r="D289" s="32">
        <v>363.5</v>
      </c>
      <c r="F289" s="1">
        <v>6227.67</v>
      </c>
      <c r="G289" s="1">
        <v>2263758.05</v>
      </c>
      <c r="H289" s="1">
        <v>2263758.05</v>
      </c>
      <c r="K289" s="1">
        <f t="shared" si="81"/>
        <v>188646.5</v>
      </c>
      <c r="L289" s="1">
        <f t="shared" si="79"/>
        <v>-1886.47</v>
      </c>
      <c r="M289" s="1">
        <v>-1886.47</v>
      </c>
      <c r="N289" s="1">
        <f t="shared" si="80"/>
        <v>-5659.4</v>
      </c>
      <c r="P289" s="1">
        <f t="shared" si="82"/>
        <v>179214.16</v>
      </c>
      <c r="Q289" s="1">
        <f t="shared" si="83"/>
        <v>181100.63</v>
      </c>
    </row>
    <row r="290" spans="1:17" ht="12.75">
      <c r="A290" s="16" t="s">
        <v>47</v>
      </c>
      <c r="B290" s="16" t="s">
        <v>48</v>
      </c>
      <c r="D290" s="32">
        <v>436.5</v>
      </c>
      <c r="F290" s="1">
        <v>6040.86</v>
      </c>
      <c r="G290" s="1">
        <v>2636835.39</v>
      </c>
      <c r="H290" s="1">
        <v>2636835.39</v>
      </c>
      <c r="K290" s="1">
        <f t="shared" si="81"/>
        <v>219736.28</v>
      </c>
      <c r="L290" s="1">
        <f t="shared" si="79"/>
        <v>-2197.36</v>
      </c>
      <c r="M290" s="1">
        <v>-2197.36</v>
      </c>
      <c r="N290" s="1">
        <f t="shared" si="80"/>
        <v>-6592.09</v>
      </c>
      <c r="O290" s="1">
        <v>-31430</v>
      </c>
      <c r="P290" s="1">
        <f t="shared" si="82"/>
        <v>177319.47000000003</v>
      </c>
      <c r="Q290" s="1">
        <f t="shared" si="83"/>
        <v>179516.83000000002</v>
      </c>
    </row>
    <row r="292" spans="4:17" ht="12.75">
      <c r="D292" s="1">
        <f>SUM(D273:D291)</f>
        <v>7598.299999999999</v>
      </c>
      <c r="G292" s="1">
        <f>SUM(G273:G291)</f>
        <v>49375801.04000001</v>
      </c>
      <c r="H292" s="1">
        <f>SUM(H273:H290)</f>
        <v>47357784.93000001</v>
      </c>
      <c r="I292" s="1">
        <f>SUM(I273:I290)</f>
        <v>2018016.11</v>
      </c>
      <c r="K292" s="1">
        <f>SUM(K273:K290)</f>
        <v>3618125.005</v>
      </c>
      <c r="L292" s="1">
        <f>SUM(L273:L290)</f>
        <v>-39464.82</v>
      </c>
      <c r="M292" s="1">
        <f>SUM(M273:M290)</f>
        <v>-39464.82</v>
      </c>
      <c r="N292" s="1">
        <f>SUM(N273:N291)</f>
        <v>-118394.46999999999</v>
      </c>
      <c r="O292" s="1">
        <f>SUM(O273:O291)</f>
        <v>-330368.56</v>
      </c>
      <c r="P292" s="1">
        <f>SUM(P273:P291)</f>
        <v>3090432.3350000004</v>
      </c>
      <c r="Q292" s="1">
        <f>SUM(Q273:Q291)</f>
        <v>3129897.1550000007</v>
      </c>
    </row>
    <row r="294" spans="1:17" ht="12.75">
      <c r="A294" s="1" t="s">
        <v>8</v>
      </c>
      <c r="H294" s="1">
        <f>H292/12</f>
        <v>3946482.0775000006</v>
      </c>
      <c r="K294" s="1">
        <f>H294-K292</f>
        <v>328357.0725000007</v>
      </c>
      <c r="Q294" s="1">
        <f>Q292-N292</f>
        <v>3248291.625000001</v>
      </c>
    </row>
    <row r="295" ht="12.75">
      <c r="Q295" s="1">
        <f>O268-Q294</f>
        <v>328840.1549999998</v>
      </c>
    </row>
    <row r="296" spans="1:17" ht="51">
      <c r="A296" s="63" t="s">
        <v>66</v>
      </c>
      <c r="B296" s="64"/>
      <c r="C296" s="64"/>
      <c r="D296" s="12" t="s">
        <v>15</v>
      </c>
      <c r="E296" s="12" t="s">
        <v>16</v>
      </c>
      <c r="F296" s="12" t="s">
        <v>17</v>
      </c>
      <c r="G296" s="12" t="s">
        <v>18</v>
      </c>
      <c r="H296" s="65" t="s">
        <v>62</v>
      </c>
      <c r="I296" s="65" t="s">
        <v>63</v>
      </c>
      <c r="J296" s="65" t="s">
        <v>64</v>
      </c>
      <c r="K296" s="12" t="s">
        <v>19</v>
      </c>
      <c r="L296" s="12" t="s">
        <v>20</v>
      </c>
      <c r="M296" s="12" t="s">
        <v>53</v>
      </c>
      <c r="N296" s="12" t="s">
        <v>21</v>
      </c>
      <c r="O296" s="12" t="s">
        <v>49</v>
      </c>
      <c r="P296" s="12" t="s">
        <v>51</v>
      </c>
      <c r="Q296" s="12" t="s">
        <v>22</v>
      </c>
    </row>
    <row r="299" spans="1:17" ht="12.75">
      <c r="A299" s="16" t="s">
        <v>23</v>
      </c>
      <c r="B299" s="16" t="s">
        <v>24</v>
      </c>
      <c r="D299" s="32">
        <v>1884.7</v>
      </c>
      <c r="F299" s="1">
        <v>6695.29</v>
      </c>
      <c r="G299" s="1">
        <v>12618613.06</v>
      </c>
      <c r="H299" s="1">
        <f>G299-I299</f>
        <v>10600596.950000001</v>
      </c>
      <c r="I299" s="1">
        <v>2018016.11</v>
      </c>
      <c r="J299" s="1">
        <v>2220104.06</v>
      </c>
      <c r="K299" s="1">
        <f>J299/4</f>
        <v>555026.015</v>
      </c>
      <c r="L299" s="1">
        <f>K299*-0.01</f>
        <v>-5550.26015</v>
      </c>
      <c r="M299" s="1">
        <f>K299*-0.01</f>
        <v>-5550.26015</v>
      </c>
      <c r="N299" s="1">
        <f>K299*-0.03</f>
        <v>-16650.78045</v>
      </c>
      <c r="O299" s="1">
        <v>-195418.97</v>
      </c>
      <c r="P299" s="1">
        <f>K299+L299+M299+N299+O299</f>
        <v>331855.7442500001</v>
      </c>
      <c r="Q299" s="1">
        <f>P299-M299</f>
        <v>337406.0044000001</v>
      </c>
    </row>
    <row r="300" spans="1:17" ht="12.75">
      <c r="A300" s="16" t="s">
        <v>25</v>
      </c>
      <c r="B300" s="16" t="s">
        <v>26</v>
      </c>
      <c r="D300" s="32">
        <v>416.7</v>
      </c>
      <c r="F300" s="1">
        <v>6540.72</v>
      </c>
      <c r="G300" s="1">
        <v>2725518.02</v>
      </c>
      <c r="H300" s="1">
        <f>G300-I300</f>
        <v>2725518.02</v>
      </c>
      <c r="K300" s="1">
        <f aca="true" t="shared" si="84" ref="K300:K316">ROUND(H300/12,2)</f>
        <v>227126.5</v>
      </c>
      <c r="L300" s="1">
        <f aca="true" t="shared" si="85" ref="L300:L316">ROUND(-H300*0.01/12,2)</f>
        <v>-2271.27</v>
      </c>
      <c r="M300" s="1">
        <v>-2271.27</v>
      </c>
      <c r="N300" s="1">
        <f aca="true" t="shared" si="86" ref="N300:N316">ROUND(-H300*0.03/12,2)</f>
        <v>-6813.8</v>
      </c>
      <c r="O300" s="1">
        <v>-994.17</v>
      </c>
      <c r="P300" s="1">
        <f aca="true" t="shared" si="87" ref="P300:P316">K300+L300+M300+N300+O300</f>
        <v>214775.99000000002</v>
      </c>
      <c r="Q300" s="1">
        <f aca="true" t="shared" si="88" ref="Q300:Q316">P300-M300</f>
        <v>217047.26</v>
      </c>
    </row>
    <row r="301" spans="1:17" ht="12.75">
      <c r="A301" s="16" t="s">
        <v>5</v>
      </c>
      <c r="B301" s="16" t="s">
        <v>27</v>
      </c>
      <c r="D301" s="32">
        <v>191</v>
      </c>
      <c r="F301" s="1">
        <v>6541.59</v>
      </c>
      <c r="G301" s="1">
        <v>1249443.69</v>
      </c>
      <c r="H301" s="1">
        <v>1249443.69</v>
      </c>
      <c r="K301" s="1">
        <f t="shared" si="84"/>
        <v>104120.31</v>
      </c>
      <c r="L301" s="1">
        <f t="shared" si="85"/>
        <v>-1041.2</v>
      </c>
      <c r="M301" s="1">
        <v>-1041.2</v>
      </c>
      <c r="N301" s="1">
        <f t="shared" si="86"/>
        <v>-3123.61</v>
      </c>
      <c r="P301" s="1">
        <f t="shared" si="87"/>
        <v>98914.3</v>
      </c>
      <c r="Q301" s="1">
        <f t="shared" si="88"/>
        <v>99955.5</v>
      </c>
    </row>
    <row r="302" spans="1:17" ht="12.75">
      <c r="A302" s="16" t="s">
        <v>5</v>
      </c>
      <c r="B302" s="16" t="s">
        <v>28</v>
      </c>
      <c r="D302" s="32">
        <v>1343.5</v>
      </c>
      <c r="F302" s="1">
        <v>6227.67</v>
      </c>
      <c r="G302" s="1">
        <v>8366874.65</v>
      </c>
      <c r="H302" s="1">
        <v>8366874.65</v>
      </c>
      <c r="K302" s="1">
        <f t="shared" si="84"/>
        <v>697239.55</v>
      </c>
      <c r="L302" s="1">
        <f t="shared" si="85"/>
        <v>-6972.4</v>
      </c>
      <c r="M302" s="1">
        <v>-6972.4</v>
      </c>
      <c r="N302" s="1">
        <f t="shared" si="86"/>
        <v>-20917.19</v>
      </c>
      <c r="P302" s="1">
        <f t="shared" si="87"/>
        <v>662377.56</v>
      </c>
      <c r="Q302" s="1">
        <f t="shared" si="88"/>
        <v>669349.9600000001</v>
      </c>
    </row>
    <row r="303" spans="1:17" ht="12.75">
      <c r="A303" s="16" t="s">
        <v>5</v>
      </c>
      <c r="B303" s="16" t="s">
        <v>29</v>
      </c>
      <c r="D303" s="32">
        <v>236.4</v>
      </c>
      <c r="F303" s="1">
        <v>7168.84</v>
      </c>
      <c r="G303" s="1">
        <v>1694713.78</v>
      </c>
      <c r="H303" s="1">
        <v>1694713.78</v>
      </c>
      <c r="K303" s="1">
        <f t="shared" si="84"/>
        <v>141226.15</v>
      </c>
      <c r="L303" s="1">
        <f t="shared" si="85"/>
        <v>-1412.26</v>
      </c>
      <c r="M303" s="1">
        <v>-1412.26</v>
      </c>
      <c r="N303" s="1">
        <f t="shared" si="86"/>
        <v>-4236.78</v>
      </c>
      <c r="P303" s="1">
        <f t="shared" si="87"/>
        <v>134164.84999999998</v>
      </c>
      <c r="Q303" s="1">
        <f t="shared" si="88"/>
        <v>135577.11</v>
      </c>
    </row>
    <row r="304" spans="1:17" ht="12.75">
      <c r="A304" s="16" t="s">
        <v>30</v>
      </c>
      <c r="B304" s="16" t="s">
        <v>31</v>
      </c>
      <c r="D304" s="32">
        <v>193.2</v>
      </c>
      <c r="F304" s="1">
        <v>6850.53</v>
      </c>
      <c r="G304" s="1">
        <v>1323522.4</v>
      </c>
      <c r="H304" s="1">
        <v>1323522.4</v>
      </c>
      <c r="K304" s="1">
        <f t="shared" si="84"/>
        <v>110293.53</v>
      </c>
      <c r="L304" s="1">
        <f t="shared" si="85"/>
        <v>-1102.94</v>
      </c>
      <c r="M304" s="1">
        <v>-1102.94</v>
      </c>
      <c r="N304" s="1">
        <f t="shared" si="86"/>
        <v>-3308.81</v>
      </c>
      <c r="P304" s="1">
        <f t="shared" si="87"/>
        <v>104778.84</v>
      </c>
      <c r="Q304" s="1">
        <f t="shared" si="88"/>
        <v>105881.78</v>
      </c>
    </row>
    <row r="305" spans="1:17" ht="15" customHeight="1">
      <c r="A305" s="16" t="s">
        <v>32</v>
      </c>
      <c r="B305" s="24" t="s">
        <v>33</v>
      </c>
      <c r="D305" s="32">
        <v>254.9</v>
      </c>
      <c r="F305" s="1">
        <v>6832.99</v>
      </c>
      <c r="G305" s="1">
        <v>1741729.15</v>
      </c>
      <c r="H305" s="1">
        <v>1741729.15</v>
      </c>
      <c r="K305" s="1">
        <f t="shared" si="84"/>
        <v>145144.1</v>
      </c>
      <c r="L305" s="1">
        <f t="shared" si="85"/>
        <v>-1451.44</v>
      </c>
      <c r="M305" s="1">
        <v>-1451.44</v>
      </c>
      <c r="N305" s="1">
        <f t="shared" si="86"/>
        <v>-4354.32</v>
      </c>
      <c r="O305" s="1">
        <v>-17750</v>
      </c>
      <c r="P305" s="1">
        <f t="shared" si="87"/>
        <v>120136.9</v>
      </c>
      <c r="Q305" s="1">
        <f t="shared" si="88"/>
        <v>121588.34</v>
      </c>
    </row>
    <row r="306" spans="1:17" ht="12.75">
      <c r="A306" s="16" t="s">
        <v>32</v>
      </c>
      <c r="B306" s="16" t="s">
        <v>34</v>
      </c>
      <c r="D306" s="32">
        <v>214.5</v>
      </c>
      <c r="F306" s="1">
        <v>6585.49</v>
      </c>
      <c r="G306" s="1">
        <v>1412587.61</v>
      </c>
      <c r="H306" s="1">
        <v>1412587.61</v>
      </c>
      <c r="K306" s="1">
        <f t="shared" si="84"/>
        <v>117715.63</v>
      </c>
      <c r="L306" s="1">
        <f t="shared" si="85"/>
        <v>-1177.16</v>
      </c>
      <c r="M306" s="1">
        <v>-1177.16</v>
      </c>
      <c r="N306" s="1">
        <f t="shared" si="86"/>
        <v>-3531.47</v>
      </c>
      <c r="P306" s="1">
        <f t="shared" si="87"/>
        <v>111829.84</v>
      </c>
      <c r="Q306" s="1">
        <f t="shared" si="88"/>
        <v>113007</v>
      </c>
    </row>
    <row r="307" spans="1:17" ht="12.75">
      <c r="A307" s="16" t="s">
        <v>32</v>
      </c>
      <c r="B307" s="27" t="s">
        <v>35</v>
      </c>
      <c r="D307" s="32">
        <v>112</v>
      </c>
      <c r="F307" s="1">
        <v>6430.25</v>
      </c>
      <c r="G307" s="1">
        <v>720188</v>
      </c>
      <c r="H307" s="1">
        <v>720188</v>
      </c>
      <c r="K307" s="1">
        <f t="shared" si="84"/>
        <v>60015.67</v>
      </c>
      <c r="L307" s="1">
        <f t="shared" si="85"/>
        <v>-600.16</v>
      </c>
      <c r="M307" s="1">
        <v>-600.16</v>
      </c>
      <c r="N307" s="1">
        <f t="shared" si="86"/>
        <v>-1800.47</v>
      </c>
      <c r="P307" s="1">
        <f t="shared" si="87"/>
        <v>57014.87999999999</v>
      </c>
      <c r="Q307" s="1">
        <f t="shared" si="88"/>
        <v>57615.03999999999</v>
      </c>
    </row>
    <row r="308" spans="1:17" ht="12.75">
      <c r="A308" s="16" t="s">
        <v>32</v>
      </c>
      <c r="B308" s="16" t="s">
        <v>36</v>
      </c>
      <c r="D308" s="32">
        <v>385.2</v>
      </c>
      <c r="F308" s="1">
        <v>6452.41</v>
      </c>
      <c r="G308" s="1">
        <v>2485468.33</v>
      </c>
      <c r="H308" s="1">
        <v>2485468.33</v>
      </c>
      <c r="K308" s="1">
        <f t="shared" si="84"/>
        <v>207122.36</v>
      </c>
      <c r="L308" s="1">
        <f t="shared" si="85"/>
        <v>-2071.22</v>
      </c>
      <c r="M308" s="1">
        <v>-2071.22</v>
      </c>
      <c r="N308" s="1">
        <f t="shared" si="86"/>
        <v>-6213.67</v>
      </c>
      <c r="O308" s="1">
        <v>-44158.75</v>
      </c>
      <c r="P308" s="1">
        <f t="shared" si="87"/>
        <v>152607.49999999997</v>
      </c>
      <c r="Q308" s="1">
        <f t="shared" si="88"/>
        <v>154678.71999999997</v>
      </c>
    </row>
    <row r="309" spans="1:17" ht="12.75">
      <c r="A309" s="16" t="s">
        <v>32</v>
      </c>
      <c r="B309" s="16" t="s">
        <v>37</v>
      </c>
      <c r="D309" s="32">
        <v>502</v>
      </c>
      <c r="F309" s="1">
        <v>6464.28</v>
      </c>
      <c r="G309" s="1">
        <v>3245068.56</v>
      </c>
      <c r="H309" s="1">
        <f>G309-I309</f>
        <v>3245068.56</v>
      </c>
      <c r="K309" s="1">
        <f t="shared" si="84"/>
        <v>270422.38</v>
      </c>
      <c r="L309" s="1">
        <f t="shared" si="85"/>
        <v>-2704.22</v>
      </c>
      <c r="M309" s="1">
        <v>-2704.22</v>
      </c>
      <c r="N309" s="1">
        <f t="shared" si="86"/>
        <v>-8112.67</v>
      </c>
      <c r="P309" s="1">
        <f t="shared" si="87"/>
        <v>256901.27000000005</v>
      </c>
      <c r="Q309" s="1">
        <f t="shared" si="88"/>
        <v>259605.49000000005</v>
      </c>
    </row>
    <row r="310" spans="1:17" ht="12.75">
      <c r="A310" s="16" t="s">
        <v>32</v>
      </c>
      <c r="B310" s="16" t="s">
        <v>38</v>
      </c>
      <c r="D310" s="32">
        <v>305</v>
      </c>
      <c r="F310" s="1">
        <v>6407.89</v>
      </c>
      <c r="G310" s="1">
        <v>1954406.45</v>
      </c>
      <c r="H310" s="1">
        <v>1954406.45</v>
      </c>
      <c r="K310" s="1">
        <f t="shared" si="84"/>
        <v>162867.2</v>
      </c>
      <c r="L310" s="1">
        <f t="shared" si="85"/>
        <v>-1628.67</v>
      </c>
      <c r="M310" s="1">
        <v>-1628.67</v>
      </c>
      <c r="N310" s="1">
        <f t="shared" si="86"/>
        <v>-4886.02</v>
      </c>
      <c r="P310" s="1">
        <f t="shared" si="87"/>
        <v>154723.84</v>
      </c>
      <c r="Q310" s="1">
        <f t="shared" si="88"/>
        <v>156352.51</v>
      </c>
    </row>
    <row r="311" spans="1:17" ht="12.75">
      <c r="A311" s="16" t="s">
        <v>39</v>
      </c>
      <c r="B311" s="16" t="s">
        <v>40</v>
      </c>
      <c r="D311" s="32">
        <v>189.3</v>
      </c>
      <c r="F311" s="1">
        <v>6833.92</v>
      </c>
      <c r="G311" s="1">
        <v>1293661.06</v>
      </c>
      <c r="H311" s="1">
        <v>1293661.06</v>
      </c>
      <c r="K311" s="1">
        <f t="shared" si="84"/>
        <v>107805.09</v>
      </c>
      <c r="L311" s="1">
        <f t="shared" si="85"/>
        <v>-1078.05</v>
      </c>
      <c r="M311" s="1">
        <v>-1078.05</v>
      </c>
      <c r="N311" s="1">
        <f t="shared" si="86"/>
        <v>-3234.15</v>
      </c>
      <c r="P311" s="1">
        <f t="shared" si="87"/>
        <v>102414.84</v>
      </c>
      <c r="Q311" s="1">
        <f t="shared" si="88"/>
        <v>103492.89</v>
      </c>
    </row>
    <row r="312" spans="1:17" ht="12.75">
      <c r="A312" s="16" t="s">
        <v>41</v>
      </c>
      <c r="B312" s="16" t="s">
        <v>42</v>
      </c>
      <c r="D312" s="32">
        <v>128</v>
      </c>
      <c r="F312" s="1">
        <v>6550.73</v>
      </c>
      <c r="G312" s="1">
        <v>838493.44</v>
      </c>
      <c r="H312" s="1">
        <v>838493.44</v>
      </c>
      <c r="K312" s="1">
        <f t="shared" si="84"/>
        <v>69874.45</v>
      </c>
      <c r="L312" s="1">
        <f t="shared" si="85"/>
        <v>-698.74</v>
      </c>
      <c r="M312" s="1">
        <v>-698.74</v>
      </c>
      <c r="N312" s="1">
        <f t="shared" si="86"/>
        <v>-2096.23</v>
      </c>
      <c r="P312" s="1">
        <f t="shared" si="87"/>
        <v>66380.73999999999</v>
      </c>
      <c r="Q312" s="1">
        <f t="shared" si="88"/>
        <v>67079.48</v>
      </c>
    </row>
    <row r="313" spans="1:17" ht="12.75">
      <c r="A313" s="16" t="s">
        <v>43</v>
      </c>
      <c r="B313" s="15" t="s">
        <v>44</v>
      </c>
      <c r="D313" s="32">
        <v>289.4</v>
      </c>
      <c r="F313" s="1">
        <v>6379.24</v>
      </c>
      <c r="G313" s="1">
        <v>1846152.06</v>
      </c>
      <c r="H313" s="1">
        <v>1846152.06</v>
      </c>
      <c r="K313" s="1">
        <f t="shared" si="84"/>
        <v>153846.01</v>
      </c>
      <c r="L313" s="1">
        <f t="shared" si="85"/>
        <v>-1538.46</v>
      </c>
      <c r="M313" s="1">
        <v>-1538.46</v>
      </c>
      <c r="N313" s="1">
        <f t="shared" si="86"/>
        <v>-4615.38</v>
      </c>
      <c r="O313" s="1">
        <v>-40566.66</v>
      </c>
      <c r="P313" s="1">
        <f t="shared" si="87"/>
        <v>105587.05000000002</v>
      </c>
      <c r="Q313" s="1">
        <f t="shared" si="88"/>
        <v>107125.51000000002</v>
      </c>
    </row>
    <row r="314" spans="1:17" ht="12.75">
      <c r="A314" s="16" t="s">
        <v>43</v>
      </c>
      <c r="B314" s="16" t="s">
        <v>45</v>
      </c>
      <c r="D314" s="32">
        <v>152.5</v>
      </c>
      <c r="E314" s="1">
        <v>6462.62</v>
      </c>
      <c r="F314" s="1">
        <v>6227.67</v>
      </c>
      <c r="G314" s="1">
        <v>958767.34</v>
      </c>
      <c r="H314" s="1">
        <v>958767.34</v>
      </c>
      <c r="K314" s="1">
        <f t="shared" si="84"/>
        <v>79897.28</v>
      </c>
      <c r="L314" s="1">
        <f t="shared" si="85"/>
        <v>-798.97</v>
      </c>
      <c r="M314" s="1">
        <v>-798.97</v>
      </c>
      <c r="N314" s="1">
        <f t="shared" si="86"/>
        <v>-2396.92</v>
      </c>
      <c r="P314" s="1">
        <f t="shared" si="87"/>
        <v>75902.42</v>
      </c>
      <c r="Q314" s="1">
        <f t="shared" si="88"/>
        <v>76701.39</v>
      </c>
    </row>
    <row r="315" spans="1:17" ht="12.75">
      <c r="A315" s="16" t="s">
        <v>43</v>
      </c>
      <c r="B315" s="16" t="s">
        <v>46</v>
      </c>
      <c r="D315" s="32">
        <v>363.5</v>
      </c>
      <c r="F315" s="1">
        <v>6227.67</v>
      </c>
      <c r="G315" s="1">
        <v>2263758.05</v>
      </c>
      <c r="H315" s="1">
        <v>2263758.05</v>
      </c>
      <c r="K315" s="1">
        <f t="shared" si="84"/>
        <v>188646.5</v>
      </c>
      <c r="L315" s="1">
        <f t="shared" si="85"/>
        <v>-1886.47</v>
      </c>
      <c r="M315" s="1">
        <v>-1886.47</v>
      </c>
      <c r="N315" s="1">
        <f t="shared" si="86"/>
        <v>-5659.4</v>
      </c>
      <c r="P315" s="1">
        <f t="shared" si="87"/>
        <v>179214.16</v>
      </c>
      <c r="Q315" s="1">
        <f t="shared" si="88"/>
        <v>181100.63</v>
      </c>
    </row>
    <row r="316" spans="1:17" ht="12.75">
      <c r="A316" s="16" t="s">
        <v>47</v>
      </c>
      <c r="B316" s="16" t="s">
        <v>48</v>
      </c>
      <c r="D316" s="32">
        <v>436.5</v>
      </c>
      <c r="F316" s="1">
        <v>6040.86</v>
      </c>
      <c r="G316" s="1">
        <v>2636835.39</v>
      </c>
      <c r="H316" s="1">
        <v>2636835.39</v>
      </c>
      <c r="K316" s="1">
        <f t="shared" si="84"/>
        <v>219736.28</v>
      </c>
      <c r="L316" s="1">
        <f t="shared" si="85"/>
        <v>-2197.36</v>
      </c>
      <c r="M316" s="1">
        <v>-2197.36</v>
      </c>
      <c r="N316" s="1">
        <f t="shared" si="86"/>
        <v>-6592.09</v>
      </c>
      <c r="O316" s="1">
        <v>-31430</v>
      </c>
      <c r="P316" s="1">
        <f t="shared" si="87"/>
        <v>177319.47000000003</v>
      </c>
      <c r="Q316" s="1">
        <f t="shared" si="88"/>
        <v>179516.83000000002</v>
      </c>
    </row>
    <row r="318" spans="4:17" ht="12.75">
      <c r="D318" s="1">
        <f>SUM(D299:D317)</f>
        <v>7598.299999999999</v>
      </c>
      <c r="G318" s="1">
        <f>SUM(G299:G317)</f>
        <v>49375801.04000001</v>
      </c>
      <c r="H318" s="1">
        <f>SUM(H299:H316)</f>
        <v>47357784.93000001</v>
      </c>
      <c r="I318" s="1">
        <f>SUM(I299:I316)</f>
        <v>2018016.11</v>
      </c>
      <c r="K318" s="1">
        <f>SUM(K299:K316)</f>
        <v>3618125.005</v>
      </c>
      <c r="L318" s="1">
        <f>SUM(L299:L316)</f>
        <v>-36181.25015</v>
      </c>
      <c r="M318" s="1">
        <f>SUM(M299:M316)</f>
        <v>-36181.25015</v>
      </c>
      <c r="N318" s="1">
        <f>SUM(N299:N317)</f>
        <v>-108543.76044999999</v>
      </c>
      <c r="O318" s="1">
        <f>SUM(O299:O317)</f>
        <v>-330318.55000000005</v>
      </c>
      <c r="P318" s="1">
        <f>SUM(P299:P317)</f>
        <v>3106900.19425</v>
      </c>
      <c r="Q318" s="1">
        <f>SUM(Q299:Q317)</f>
        <v>3143081.4444000004</v>
      </c>
    </row>
    <row r="320" ht="12.75">
      <c r="H320" s="1">
        <v>-47998857.14100001</v>
      </c>
    </row>
    <row r="321" ht="12.75">
      <c r="H321" s="1">
        <f>H318+H320</f>
        <v>-641072.2110000029</v>
      </c>
    </row>
    <row r="322" spans="1:17" ht="51">
      <c r="A322" s="63" t="s">
        <v>67</v>
      </c>
      <c r="B322" s="64"/>
      <c r="C322" s="64"/>
      <c r="D322" s="12" t="s">
        <v>15</v>
      </c>
      <c r="E322" s="12" t="s">
        <v>16</v>
      </c>
      <c r="F322" s="12" t="s">
        <v>17</v>
      </c>
      <c r="G322" s="12" t="s">
        <v>18</v>
      </c>
      <c r="H322" s="65" t="s">
        <v>62</v>
      </c>
      <c r="I322" s="65" t="s">
        <v>63</v>
      </c>
      <c r="J322" s="65" t="s">
        <v>64</v>
      </c>
      <c r="K322" s="12" t="s">
        <v>19</v>
      </c>
      <c r="L322" s="12" t="s">
        <v>20</v>
      </c>
      <c r="M322" s="12" t="s">
        <v>53</v>
      </c>
      <c r="N322" s="12" t="s">
        <v>21</v>
      </c>
      <c r="O322" s="12" t="s">
        <v>49</v>
      </c>
      <c r="P322" s="12" t="s">
        <v>51</v>
      </c>
      <c r="Q322" s="12" t="s">
        <v>22</v>
      </c>
    </row>
    <row r="325" spans="1:17" ht="12.75">
      <c r="A325" s="16" t="s">
        <v>23</v>
      </c>
      <c r="B325" s="16" t="s">
        <v>24</v>
      </c>
      <c r="D325" s="32">
        <v>1884.7</v>
      </c>
      <c r="F325" s="1">
        <v>6695.29</v>
      </c>
      <c r="G325" s="1">
        <v>12618613.06</v>
      </c>
      <c r="H325" s="1">
        <f>G325-I325</f>
        <v>10600596.950000001</v>
      </c>
      <c r="I325" s="1">
        <v>2018016.11</v>
      </c>
      <c r="J325" s="1">
        <v>2220104.06</v>
      </c>
      <c r="K325" s="1">
        <f>J325/4</f>
        <v>555026.015</v>
      </c>
      <c r="L325" s="1">
        <f>K325*-0.01</f>
        <v>-5550.26015</v>
      </c>
      <c r="M325" s="1">
        <f>K325*-0.01</f>
        <v>-5550.26015</v>
      </c>
      <c r="N325" s="1">
        <f>K325*-0.03</f>
        <v>-16650.78045</v>
      </c>
      <c r="O325" s="1">
        <v>-195418.97</v>
      </c>
      <c r="P325" s="1">
        <f>K325+L325+M325+N325+O325</f>
        <v>331855.7442500001</v>
      </c>
      <c r="Q325" s="1">
        <f>P325-M325</f>
        <v>337406.0044000001</v>
      </c>
    </row>
    <row r="326" spans="1:17" ht="12.75">
      <c r="A326" s="16" t="s">
        <v>25</v>
      </c>
      <c r="B326" s="16" t="s">
        <v>26</v>
      </c>
      <c r="D326" s="32">
        <v>416.7</v>
      </c>
      <c r="F326" s="1">
        <v>6540.72</v>
      </c>
      <c r="G326" s="1">
        <v>2725518.02</v>
      </c>
      <c r="H326" s="1">
        <f>G326-I326</f>
        <v>2725518.02</v>
      </c>
      <c r="K326" s="1">
        <f aca="true" t="shared" si="89" ref="K326:K342">ROUND(H326/12,2)</f>
        <v>227126.5</v>
      </c>
      <c r="L326" s="1">
        <f aca="true" t="shared" si="90" ref="L326:L342">ROUND(-H326*0.01/12,2)</f>
        <v>-2271.27</v>
      </c>
      <c r="M326" s="1">
        <v>-2271.27</v>
      </c>
      <c r="N326" s="1">
        <f aca="true" t="shared" si="91" ref="N326:N342">ROUND(-H326*0.03/12,2)</f>
        <v>-6813.8</v>
      </c>
      <c r="O326" s="1">
        <v>-994.17</v>
      </c>
      <c r="P326" s="1">
        <f aca="true" t="shared" si="92" ref="P326:P342">K326+L326+M326+N326+O326</f>
        <v>214775.99000000002</v>
      </c>
      <c r="Q326" s="1">
        <f aca="true" t="shared" si="93" ref="Q326:Q342">P326-M326</f>
        <v>217047.26</v>
      </c>
    </row>
    <row r="327" spans="1:17" ht="12.75">
      <c r="A327" s="16" t="s">
        <v>5</v>
      </c>
      <c r="B327" s="16" t="s">
        <v>27</v>
      </c>
      <c r="D327" s="32">
        <v>191</v>
      </c>
      <c r="F327" s="1">
        <v>6541.59</v>
      </c>
      <c r="G327" s="1">
        <v>1249443.69</v>
      </c>
      <c r="H327" s="1">
        <v>1249443.69</v>
      </c>
      <c r="K327" s="1">
        <f t="shared" si="89"/>
        <v>104120.31</v>
      </c>
      <c r="L327" s="1">
        <f t="shared" si="90"/>
        <v>-1041.2</v>
      </c>
      <c r="M327" s="1">
        <v>-1041.2</v>
      </c>
      <c r="N327" s="1">
        <f t="shared" si="91"/>
        <v>-3123.61</v>
      </c>
      <c r="P327" s="1">
        <f t="shared" si="92"/>
        <v>98914.3</v>
      </c>
      <c r="Q327" s="1">
        <f t="shared" si="93"/>
        <v>99955.5</v>
      </c>
    </row>
    <row r="328" spans="1:17" ht="12.75">
      <c r="A328" s="16" t="s">
        <v>5</v>
      </c>
      <c r="B328" s="16" t="s">
        <v>28</v>
      </c>
      <c r="D328" s="32">
        <v>1343.5</v>
      </c>
      <c r="F328" s="1">
        <v>6227.67</v>
      </c>
      <c r="G328" s="1">
        <v>8366874.65</v>
      </c>
      <c r="H328" s="1">
        <v>8366874.65</v>
      </c>
      <c r="K328" s="1">
        <f t="shared" si="89"/>
        <v>697239.55</v>
      </c>
      <c r="L328" s="1">
        <f t="shared" si="90"/>
        <v>-6972.4</v>
      </c>
      <c r="M328" s="1">
        <v>-6972.4</v>
      </c>
      <c r="N328" s="1">
        <f t="shared" si="91"/>
        <v>-20917.19</v>
      </c>
      <c r="P328" s="1">
        <f t="shared" si="92"/>
        <v>662377.56</v>
      </c>
      <c r="Q328" s="1">
        <f t="shared" si="93"/>
        <v>669349.9600000001</v>
      </c>
    </row>
    <row r="329" spans="1:17" ht="12.75">
      <c r="A329" s="16" t="s">
        <v>5</v>
      </c>
      <c r="B329" s="16" t="s">
        <v>29</v>
      </c>
      <c r="D329" s="32">
        <v>236.4</v>
      </c>
      <c r="F329" s="1">
        <v>7168.84</v>
      </c>
      <c r="G329" s="1">
        <v>1694713.78</v>
      </c>
      <c r="H329" s="1">
        <v>1694713.78</v>
      </c>
      <c r="K329" s="1">
        <f t="shared" si="89"/>
        <v>141226.15</v>
      </c>
      <c r="L329" s="1">
        <f t="shared" si="90"/>
        <v>-1412.26</v>
      </c>
      <c r="M329" s="1">
        <v>-1412.26</v>
      </c>
      <c r="N329" s="1">
        <f t="shared" si="91"/>
        <v>-4236.78</v>
      </c>
      <c r="P329" s="1">
        <f t="shared" si="92"/>
        <v>134164.84999999998</v>
      </c>
      <c r="Q329" s="1">
        <f t="shared" si="93"/>
        <v>135577.11</v>
      </c>
    </row>
    <row r="330" spans="1:17" ht="12.75">
      <c r="A330" s="16" t="s">
        <v>30</v>
      </c>
      <c r="B330" s="16" t="s">
        <v>31</v>
      </c>
      <c r="D330" s="32">
        <v>193.2</v>
      </c>
      <c r="F330" s="1">
        <v>6850.53</v>
      </c>
      <c r="G330" s="1">
        <v>1323522.4</v>
      </c>
      <c r="H330" s="1">
        <v>1323522.4</v>
      </c>
      <c r="K330" s="1">
        <f t="shared" si="89"/>
        <v>110293.53</v>
      </c>
      <c r="L330" s="1">
        <f t="shared" si="90"/>
        <v>-1102.94</v>
      </c>
      <c r="M330" s="1">
        <v>-1102.94</v>
      </c>
      <c r="N330" s="1">
        <f t="shared" si="91"/>
        <v>-3308.81</v>
      </c>
      <c r="P330" s="1">
        <f t="shared" si="92"/>
        <v>104778.84</v>
      </c>
      <c r="Q330" s="1">
        <f t="shared" si="93"/>
        <v>105881.78</v>
      </c>
    </row>
    <row r="331" spans="1:17" ht="15" customHeight="1">
      <c r="A331" s="16" t="s">
        <v>32</v>
      </c>
      <c r="B331" s="24" t="s">
        <v>33</v>
      </c>
      <c r="D331" s="32">
        <v>254.9</v>
      </c>
      <c r="F331" s="1">
        <v>6832.99</v>
      </c>
      <c r="G331" s="1">
        <v>1741729.15</v>
      </c>
      <c r="H331" s="1">
        <v>1741729.15</v>
      </c>
      <c r="K331" s="1">
        <f t="shared" si="89"/>
        <v>145144.1</v>
      </c>
      <c r="L331" s="1">
        <f t="shared" si="90"/>
        <v>-1451.44</v>
      </c>
      <c r="M331" s="1">
        <v>-1451.44</v>
      </c>
      <c r="N331" s="1">
        <f t="shared" si="91"/>
        <v>-4354.32</v>
      </c>
      <c r="O331" s="1">
        <v>-17750</v>
      </c>
      <c r="P331" s="1">
        <f t="shared" si="92"/>
        <v>120136.9</v>
      </c>
      <c r="Q331" s="1">
        <f t="shared" si="93"/>
        <v>121588.34</v>
      </c>
    </row>
    <row r="332" spans="1:17" ht="12.75">
      <c r="A332" s="16" t="s">
        <v>32</v>
      </c>
      <c r="B332" s="16" t="s">
        <v>34</v>
      </c>
      <c r="D332" s="32">
        <v>214.5</v>
      </c>
      <c r="F332" s="1">
        <v>6585.49</v>
      </c>
      <c r="G332" s="1">
        <v>1412587.61</v>
      </c>
      <c r="H332" s="1">
        <v>1412587.61</v>
      </c>
      <c r="K332" s="1">
        <f t="shared" si="89"/>
        <v>117715.63</v>
      </c>
      <c r="L332" s="1">
        <f t="shared" si="90"/>
        <v>-1177.16</v>
      </c>
      <c r="M332" s="1">
        <v>-1177.16</v>
      </c>
      <c r="N332" s="1">
        <f t="shared" si="91"/>
        <v>-3531.47</v>
      </c>
      <c r="P332" s="1">
        <f t="shared" si="92"/>
        <v>111829.84</v>
      </c>
      <c r="Q332" s="1">
        <f t="shared" si="93"/>
        <v>113007</v>
      </c>
    </row>
    <row r="333" spans="1:17" ht="12.75">
      <c r="A333" s="16" t="s">
        <v>32</v>
      </c>
      <c r="B333" s="27" t="s">
        <v>35</v>
      </c>
      <c r="D333" s="32">
        <v>112</v>
      </c>
      <c r="F333" s="1">
        <v>6430.25</v>
      </c>
      <c r="G333" s="1">
        <v>720188</v>
      </c>
      <c r="H333" s="1">
        <v>720188</v>
      </c>
      <c r="K333" s="1">
        <f t="shared" si="89"/>
        <v>60015.67</v>
      </c>
      <c r="L333" s="1">
        <f t="shared" si="90"/>
        <v>-600.16</v>
      </c>
      <c r="M333" s="1">
        <v>-600.16</v>
      </c>
      <c r="N333" s="1">
        <f t="shared" si="91"/>
        <v>-1800.47</v>
      </c>
      <c r="P333" s="1">
        <f t="shared" si="92"/>
        <v>57014.87999999999</v>
      </c>
      <c r="Q333" s="1">
        <f t="shared" si="93"/>
        <v>57615.03999999999</v>
      </c>
    </row>
    <row r="334" spans="1:17" ht="12.75">
      <c r="A334" s="16" t="s">
        <v>32</v>
      </c>
      <c r="B334" s="16" t="s">
        <v>36</v>
      </c>
      <c r="D334" s="32">
        <v>385.2</v>
      </c>
      <c r="F334" s="1">
        <v>6452.41</v>
      </c>
      <c r="G334" s="1">
        <v>2485468.33</v>
      </c>
      <c r="H334" s="1">
        <v>2485468.33</v>
      </c>
      <c r="K334" s="1">
        <f t="shared" si="89"/>
        <v>207122.36</v>
      </c>
      <c r="L334" s="1">
        <f t="shared" si="90"/>
        <v>-2071.22</v>
      </c>
      <c r="M334" s="1">
        <v>-2071.22</v>
      </c>
      <c r="N334" s="1">
        <f t="shared" si="91"/>
        <v>-6213.67</v>
      </c>
      <c r="O334" s="1">
        <v>-44158.75</v>
      </c>
      <c r="P334" s="1">
        <f t="shared" si="92"/>
        <v>152607.49999999997</v>
      </c>
      <c r="Q334" s="1">
        <f t="shared" si="93"/>
        <v>154678.71999999997</v>
      </c>
    </row>
    <row r="335" spans="1:17" ht="12.75">
      <c r="A335" s="16" t="s">
        <v>32</v>
      </c>
      <c r="B335" s="16" t="s">
        <v>37</v>
      </c>
      <c r="D335" s="32">
        <v>502</v>
      </c>
      <c r="F335" s="1">
        <v>6464.28</v>
      </c>
      <c r="G335" s="1">
        <v>3245068.56</v>
      </c>
      <c r="H335" s="1">
        <f>G335-I335</f>
        <v>3245068.56</v>
      </c>
      <c r="K335" s="1">
        <f t="shared" si="89"/>
        <v>270422.38</v>
      </c>
      <c r="L335" s="1">
        <f t="shared" si="90"/>
        <v>-2704.22</v>
      </c>
      <c r="M335" s="1">
        <v>-2704.22</v>
      </c>
      <c r="N335" s="1">
        <f t="shared" si="91"/>
        <v>-8112.67</v>
      </c>
      <c r="P335" s="1">
        <f t="shared" si="92"/>
        <v>256901.27000000005</v>
      </c>
      <c r="Q335" s="1">
        <f t="shared" si="93"/>
        <v>259605.49000000005</v>
      </c>
    </row>
    <row r="336" spans="1:17" ht="12.75">
      <c r="A336" s="16" t="s">
        <v>32</v>
      </c>
      <c r="B336" s="16" t="s">
        <v>38</v>
      </c>
      <c r="D336" s="32">
        <v>305</v>
      </c>
      <c r="F336" s="1">
        <v>6407.89</v>
      </c>
      <c r="G336" s="1">
        <v>1954406.45</v>
      </c>
      <c r="H336" s="1">
        <v>1954406.45</v>
      </c>
      <c r="K336" s="1">
        <f t="shared" si="89"/>
        <v>162867.2</v>
      </c>
      <c r="L336" s="1">
        <f t="shared" si="90"/>
        <v>-1628.67</v>
      </c>
      <c r="M336" s="1">
        <v>-1628.67</v>
      </c>
      <c r="N336" s="1">
        <f t="shared" si="91"/>
        <v>-4886.02</v>
      </c>
      <c r="P336" s="1">
        <f t="shared" si="92"/>
        <v>154723.84</v>
      </c>
      <c r="Q336" s="1">
        <f t="shared" si="93"/>
        <v>156352.51</v>
      </c>
    </row>
    <row r="337" spans="1:17" ht="12.75">
      <c r="A337" s="16" t="s">
        <v>39</v>
      </c>
      <c r="B337" s="16" t="s">
        <v>40</v>
      </c>
      <c r="D337" s="32">
        <v>189.3</v>
      </c>
      <c r="F337" s="1">
        <v>6833.92</v>
      </c>
      <c r="G337" s="1">
        <v>1293661.06</v>
      </c>
      <c r="H337" s="1">
        <v>1293661.06</v>
      </c>
      <c r="K337" s="1">
        <f t="shared" si="89"/>
        <v>107805.09</v>
      </c>
      <c r="L337" s="1">
        <f t="shared" si="90"/>
        <v>-1078.05</v>
      </c>
      <c r="M337" s="1">
        <v>-1078.05</v>
      </c>
      <c r="N337" s="1">
        <f t="shared" si="91"/>
        <v>-3234.15</v>
      </c>
      <c r="P337" s="1">
        <f t="shared" si="92"/>
        <v>102414.84</v>
      </c>
      <c r="Q337" s="1">
        <f t="shared" si="93"/>
        <v>103492.89</v>
      </c>
    </row>
    <row r="338" spans="1:17" ht="12.75">
      <c r="A338" s="16" t="s">
        <v>41</v>
      </c>
      <c r="B338" s="16" t="s">
        <v>42</v>
      </c>
      <c r="D338" s="32">
        <v>128</v>
      </c>
      <c r="F338" s="1">
        <v>6550.73</v>
      </c>
      <c r="G338" s="1">
        <v>838493.44</v>
      </c>
      <c r="H338" s="1">
        <v>838493.44</v>
      </c>
      <c r="K338" s="1">
        <f t="shared" si="89"/>
        <v>69874.45</v>
      </c>
      <c r="L338" s="1">
        <f t="shared" si="90"/>
        <v>-698.74</v>
      </c>
      <c r="M338" s="1">
        <v>-698.74</v>
      </c>
      <c r="N338" s="1">
        <f t="shared" si="91"/>
        <v>-2096.23</v>
      </c>
      <c r="P338" s="1">
        <f t="shared" si="92"/>
        <v>66380.73999999999</v>
      </c>
      <c r="Q338" s="1">
        <f t="shared" si="93"/>
        <v>67079.48</v>
      </c>
    </row>
    <row r="339" spans="1:17" ht="12.75">
      <c r="A339" s="16" t="s">
        <v>43</v>
      </c>
      <c r="B339" s="15" t="s">
        <v>44</v>
      </c>
      <c r="D339" s="32">
        <v>289.4</v>
      </c>
      <c r="F339" s="1">
        <v>6379.24</v>
      </c>
      <c r="G339" s="1">
        <v>1846152.06</v>
      </c>
      <c r="H339" s="1">
        <v>1846152.06</v>
      </c>
      <c r="K339" s="1">
        <f t="shared" si="89"/>
        <v>153846.01</v>
      </c>
      <c r="L339" s="1">
        <f t="shared" si="90"/>
        <v>-1538.46</v>
      </c>
      <c r="M339" s="1">
        <v>-1538.46</v>
      </c>
      <c r="N339" s="1">
        <f t="shared" si="91"/>
        <v>-4615.38</v>
      </c>
      <c r="O339" s="1">
        <v>-40566.66</v>
      </c>
      <c r="P339" s="1">
        <f t="shared" si="92"/>
        <v>105587.05000000002</v>
      </c>
      <c r="Q339" s="1">
        <f t="shared" si="93"/>
        <v>107125.51000000002</v>
      </c>
    </row>
    <row r="340" spans="1:17" ht="12.75">
      <c r="A340" s="16" t="s">
        <v>43</v>
      </c>
      <c r="B340" s="16" t="s">
        <v>45</v>
      </c>
      <c r="D340" s="32">
        <v>152.5</v>
      </c>
      <c r="E340" s="1">
        <v>6462.62</v>
      </c>
      <c r="F340" s="1">
        <v>6227.67</v>
      </c>
      <c r="G340" s="1">
        <v>958767.34</v>
      </c>
      <c r="H340" s="1">
        <v>958767.34</v>
      </c>
      <c r="K340" s="1">
        <f t="shared" si="89"/>
        <v>79897.28</v>
      </c>
      <c r="L340" s="1">
        <f t="shared" si="90"/>
        <v>-798.97</v>
      </c>
      <c r="M340" s="1">
        <v>-798.97</v>
      </c>
      <c r="N340" s="1">
        <f t="shared" si="91"/>
        <v>-2396.92</v>
      </c>
      <c r="P340" s="1">
        <f t="shared" si="92"/>
        <v>75902.42</v>
      </c>
      <c r="Q340" s="1">
        <f t="shared" si="93"/>
        <v>76701.39</v>
      </c>
    </row>
    <row r="341" spans="1:17" ht="12.75">
      <c r="A341" s="16" t="s">
        <v>43</v>
      </c>
      <c r="B341" s="16" t="s">
        <v>46</v>
      </c>
      <c r="D341" s="32">
        <v>363.5</v>
      </c>
      <c r="F341" s="1">
        <v>6227.67</v>
      </c>
      <c r="G341" s="1">
        <v>2263758.05</v>
      </c>
      <c r="H341" s="1">
        <v>2263758.05</v>
      </c>
      <c r="K341" s="1">
        <f t="shared" si="89"/>
        <v>188646.5</v>
      </c>
      <c r="L341" s="1">
        <f t="shared" si="90"/>
        <v>-1886.47</v>
      </c>
      <c r="M341" s="1">
        <v>-1886.47</v>
      </c>
      <c r="N341" s="1">
        <f t="shared" si="91"/>
        <v>-5659.4</v>
      </c>
      <c r="P341" s="1">
        <f t="shared" si="92"/>
        <v>179214.16</v>
      </c>
      <c r="Q341" s="1">
        <f t="shared" si="93"/>
        <v>181100.63</v>
      </c>
    </row>
    <row r="342" spans="1:17" ht="12.75">
      <c r="A342" s="16" t="s">
        <v>47</v>
      </c>
      <c r="B342" s="16" t="s">
        <v>48</v>
      </c>
      <c r="D342" s="32">
        <v>436.5</v>
      </c>
      <c r="F342" s="1">
        <v>6040.86</v>
      </c>
      <c r="G342" s="1">
        <v>2636835.39</v>
      </c>
      <c r="H342" s="1">
        <v>2636835.39</v>
      </c>
      <c r="K342" s="1">
        <f t="shared" si="89"/>
        <v>219736.28</v>
      </c>
      <c r="L342" s="1">
        <f t="shared" si="90"/>
        <v>-2197.36</v>
      </c>
      <c r="M342" s="1">
        <v>-2197.36</v>
      </c>
      <c r="N342" s="1">
        <f t="shared" si="91"/>
        <v>-6592.09</v>
      </c>
      <c r="O342" s="1">
        <v>-31430</v>
      </c>
      <c r="P342" s="1">
        <f t="shared" si="92"/>
        <v>177319.47000000003</v>
      </c>
      <c r="Q342" s="1">
        <f t="shared" si="93"/>
        <v>179516.83000000002</v>
      </c>
    </row>
    <row r="344" spans="4:17" ht="12.75">
      <c r="D344" s="1">
        <f>SUM(D325:D343)</f>
        <v>7598.299999999999</v>
      </c>
      <c r="G344" s="1">
        <f>SUM(G325:G343)</f>
        <v>49375801.04000001</v>
      </c>
      <c r="H344" s="1">
        <f>SUM(H325:H342)</f>
        <v>47357784.93000001</v>
      </c>
      <c r="I344" s="1">
        <f>SUM(I325:I342)</f>
        <v>2018016.11</v>
      </c>
      <c r="K344" s="1">
        <f>SUM(K325:K342)</f>
        <v>3618125.005</v>
      </c>
      <c r="L344" s="1">
        <f>SUM(L325:L342)</f>
        <v>-36181.25015</v>
      </c>
      <c r="M344" s="1">
        <f>SUM(M325:M342)</f>
        <v>-36181.25015</v>
      </c>
      <c r="N344" s="1">
        <f>SUM(N325:N343)</f>
        <v>-108543.76044999999</v>
      </c>
      <c r="O344" s="1">
        <f>SUM(O325:O343)</f>
        <v>-330318.55000000005</v>
      </c>
      <c r="P344" s="1">
        <f>SUM(P325:P343)</f>
        <v>3106900.19425</v>
      </c>
      <c r="Q344" s="1">
        <f>SUM(Q325:Q343)</f>
        <v>3143081.4444000004</v>
      </c>
    </row>
    <row r="346" ht="12.75">
      <c r="K346" s="1">
        <v>3999904.76</v>
      </c>
    </row>
    <row r="347" ht="12.75">
      <c r="K347" s="1">
        <f>K346-K344</f>
        <v>381779.7549999999</v>
      </c>
    </row>
    <row r="348" spans="1:21" ht="51">
      <c r="A348" s="63" t="s">
        <v>68</v>
      </c>
      <c r="B348" s="64"/>
      <c r="C348" s="64"/>
      <c r="D348" s="12" t="s">
        <v>15</v>
      </c>
      <c r="E348" s="12" t="s">
        <v>16</v>
      </c>
      <c r="F348" s="12" t="s">
        <v>17</v>
      </c>
      <c r="G348" s="12" t="s">
        <v>18</v>
      </c>
      <c r="H348" s="65" t="s">
        <v>62</v>
      </c>
      <c r="I348" s="65" t="s">
        <v>63</v>
      </c>
      <c r="J348" s="65" t="s">
        <v>64</v>
      </c>
      <c r="K348" s="65" t="s">
        <v>69</v>
      </c>
      <c r="L348" s="12" t="s">
        <v>19</v>
      </c>
      <c r="M348" s="12" t="s">
        <v>69</v>
      </c>
      <c r="N348" s="12" t="s">
        <v>20</v>
      </c>
      <c r="O348" s="12" t="s">
        <v>69</v>
      </c>
      <c r="P348" s="12" t="s">
        <v>53</v>
      </c>
      <c r="Q348" s="12" t="s">
        <v>69</v>
      </c>
      <c r="R348" s="12" t="s">
        <v>21</v>
      </c>
      <c r="S348" s="12"/>
      <c r="T348" s="12"/>
      <c r="U348" s="12"/>
    </row>
    <row r="351" spans="1:18" ht="12.75">
      <c r="A351" s="16" t="s">
        <v>23</v>
      </c>
      <c r="B351" s="16" t="s">
        <v>24</v>
      </c>
      <c r="D351" s="32">
        <v>1884.7</v>
      </c>
      <c r="F351" s="1">
        <v>6695.29</v>
      </c>
      <c r="G351" s="1">
        <v>12618537.68</v>
      </c>
      <c r="H351" s="1">
        <f>G351-I351</f>
        <v>10600521.57</v>
      </c>
      <c r="I351" s="1">
        <v>2018016.11</v>
      </c>
      <c r="J351" s="1">
        <v>2220104.06</v>
      </c>
      <c r="K351" s="1">
        <f>H21+H45+H69+H93+H117+H172+H197+H222+M222+H247+K299+K325</f>
        <v>10532086.660000002</v>
      </c>
      <c r="L351" s="1">
        <f>H351-K351</f>
        <v>68434.90999999829</v>
      </c>
      <c r="M351" s="1">
        <f aca="true" t="shared" si="94" ref="M351:M368">I21+I45+I69+I93+I117+I172+I197+I222+L273+L299+L325</f>
        <v>-103739.2803</v>
      </c>
      <c r="N351" s="1">
        <f>H351*-0.01</f>
        <v>-106005.2157</v>
      </c>
      <c r="O351" s="1">
        <f aca="true" t="shared" si="95" ref="O351:O368">J21+J45+J69+J93+J117+J172+J197+J222+M273+M299+M325</f>
        <v>-103739.2803</v>
      </c>
      <c r="P351" s="1">
        <f>H351*-0.01</f>
        <v>-106005.2157</v>
      </c>
      <c r="Q351" s="1">
        <f>K21+K45+K69+K93+K117+K172+K197+K222+N273+N299+N325</f>
        <v>-311217.8309</v>
      </c>
      <c r="R351" s="1">
        <f>H351*-0.03</f>
        <v>-318015.6471</v>
      </c>
    </row>
    <row r="352" spans="1:18" ht="12.75">
      <c r="A352" s="16" t="s">
        <v>25</v>
      </c>
      <c r="B352" s="16" t="s">
        <v>26</v>
      </c>
      <c r="D352" s="32">
        <v>416.7</v>
      </c>
      <c r="F352" s="1">
        <v>6540.72</v>
      </c>
      <c r="G352" s="1">
        <v>2725755.54</v>
      </c>
      <c r="H352" s="1">
        <v>2725755.54</v>
      </c>
      <c r="K352" s="1">
        <f aca="true" t="shared" si="96" ref="K352:K368">H22+H46+H70+H94+H118+H173+H198+H223+M223+H248+K300+K326</f>
        <v>2489223.41</v>
      </c>
      <c r="L352" s="1">
        <f>H352-K352</f>
        <v>236532.1299999999</v>
      </c>
      <c r="M352" s="1">
        <f t="shared" si="94"/>
        <v>-24991.030000000002</v>
      </c>
      <c r="N352" s="1">
        <f aca="true" t="shared" si="97" ref="N352:N368">H352*-0.01</f>
        <v>-27257.5554</v>
      </c>
      <c r="O352" s="1">
        <f t="shared" si="95"/>
        <v>-24991.030000000002</v>
      </c>
      <c r="P352" s="1">
        <f aca="true" t="shared" si="98" ref="P352:P368">H352*-0.01</f>
        <v>-27257.5554</v>
      </c>
      <c r="Q352" s="1">
        <f aca="true" t="shared" si="99" ref="Q352:Q368">K22+K46+K70+K94+K118+K173+K198+K223+N274+N300+N326</f>
        <v>-74973.06000000001</v>
      </c>
      <c r="R352" s="1">
        <f aca="true" t="shared" si="100" ref="R352:R368">H352*-0.03</f>
        <v>-81772.66619999999</v>
      </c>
    </row>
    <row r="353" spans="1:18" ht="12.75">
      <c r="A353" s="16" t="s">
        <v>5</v>
      </c>
      <c r="B353" s="16" t="s">
        <v>27</v>
      </c>
      <c r="D353" s="32">
        <v>191</v>
      </c>
      <c r="F353" s="1">
        <v>6541.59</v>
      </c>
      <c r="G353" s="1">
        <v>1249583.12</v>
      </c>
      <c r="H353" s="1">
        <v>1249583.12</v>
      </c>
      <c r="K353" s="1">
        <f t="shared" si="96"/>
        <v>1140790.12</v>
      </c>
      <c r="L353" s="1">
        <f aca="true" t="shared" si="101" ref="L353:L368">H353-K353</f>
        <v>108793</v>
      </c>
      <c r="M353" s="1">
        <f t="shared" si="94"/>
        <v>-12154.810000000003</v>
      </c>
      <c r="N353" s="1">
        <f t="shared" si="97"/>
        <v>-12495.8312</v>
      </c>
      <c r="O353" s="1">
        <f t="shared" si="95"/>
        <v>-12154.810000000003</v>
      </c>
      <c r="P353" s="1">
        <f t="shared" si="98"/>
        <v>-12495.8312</v>
      </c>
      <c r="Q353" s="1">
        <f t="shared" si="99"/>
        <v>-36464.48</v>
      </c>
      <c r="R353" s="1">
        <f t="shared" si="100"/>
        <v>-37487.4936</v>
      </c>
    </row>
    <row r="354" spans="1:18" ht="12.75">
      <c r="A354" s="16" t="s">
        <v>5</v>
      </c>
      <c r="B354" s="16" t="s">
        <v>28</v>
      </c>
      <c r="D354" s="32">
        <v>1343.5</v>
      </c>
      <c r="F354" s="1">
        <v>6227.67</v>
      </c>
      <c r="G354" s="1">
        <v>8367600.14</v>
      </c>
      <c r="H354" s="1">
        <v>8367600.14</v>
      </c>
      <c r="K354" s="1">
        <f t="shared" si="96"/>
        <v>7641503.31</v>
      </c>
      <c r="L354" s="1">
        <f t="shared" si="101"/>
        <v>726096.8300000001</v>
      </c>
      <c r="M354" s="1">
        <f t="shared" si="94"/>
        <v>-76696.37</v>
      </c>
      <c r="N354" s="1">
        <f t="shared" si="97"/>
        <v>-83676.0014</v>
      </c>
      <c r="O354" s="1">
        <f t="shared" si="95"/>
        <v>-76696.37</v>
      </c>
      <c r="P354" s="1">
        <f t="shared" si="98"/>
        <v>-83676.0014</v>
      </c>
      <c r="Q354" s="1">
        <f t="shared" si="99"/>
        <v>-230089.07</v>
      </c>
      <c r="R354" s="1">
        <f t="shared" si="100"/>
        <v>-251028.00419999997</v>
      </c>
    </row>
    <row r="355" spans="1:18" ht="12.75">
      <c r="A355" s="16" t="s">
        <v>5</v>
      </c>
      <c r="B355" s="16" t="s">
        <v>29</v>
      </c>
      <c r="D355" s="32">
        <v>236.4</v>
      </c>
      <c r="F355" s="1">
        <v>7168.84</v>
      </c>
      <c r="G355" s="1">
        <v>1694964.36</v>
      </c>
      <c r="H355" s="1">
        <v>1694964.36</v>
      </c>
      <c r="K355" s="1">
        <f t="shared" si="96"/>
        <v>1547876.9099999997</v>
      </c>
      <c r="L355" s="1">
        <f t="shared" si="101"/>
        <v>147087.45000000042</v>
      </c>
      <c r="M355" s="1">
        <f t="shared" si="94"/>
        <v>-15538.24</v>
      </c>
      <c r="N355" s="1">
        <f t="shared" si="97"/>
        <v>-16949.643600000003</v>
      </c>
      <c r="O355" s="1">
        <f t="shared" si="95"/>
        <v>-15538.24</v>
      </c>
      <c r="P355" s="1">
        <f t="shared" si="98"/>
        <v>-16949.643600000003</v>
      </c>
      <c r="Q355" s="1">
        <f t="shared" si="99"/>
        <v>-46614.74</v>
      </c>
      <c r="R355" s="1">
        <f t="shared" si="100"/>
        <v>-50848.9308</v>
      </c>
    </row>
    <row r="356" spans="1:18" ht="12.75">
      <c r="A356" s="16" t="s">
        <v>30</v>
      </c>
      <c r="B356" s="16" t="s">
        <v>31</v>
      </c>
      <c r="D356" s="32">
        <v>193.2</v>
      </c>
      <c r="F356" s="1">
        <v>6850.53</v>
      </c>
      <c r="G356" s="1">
        <v>1323642.18</v>
      </c>
      <c r="H356" s="1">
        <v>1323642.18</v>
      </c>
      <c r="K356" s="1">
        <f t="shared" si="96"/>
        <v>1208617.83</v>
      </c>
      <c r="L356" s="1">
        <f t="shared" si="101"/>
        <v>115024.34999999986</v>
      </c>
      <c r="M356" s="1">
        <f t="shared" si="94"/>
        <v>-12411.710000000001</v>
      </c>
      <c r="N356" s="1">
        <f t="shared" si="97"/>
        <v>-13236.4218</v>
      </c>
      <c r="O356" s="1">
        <f t="shared" si="95"/>
        <v>-12411.710000000001</v>
      </c>
      <c r="P356" s="1">
        <f t="shared" si="98"/>
        <v>-13236.4218</v>
      </c>
      <c r="Q356" s="1">
        <f t="shared" si="99"/>
        <v>-37235.1</v>
      </c>
      <c r="R356" s="1">
        <f t="shared" si="100"/>
        <v>-39709.2654</v>
      </c>
    </row>
    <row r="357" spans="1:18" ht="15" customHeight="1">
      <c r="A357" s="16" t="s">
        <v>32</v>
      </c>
      <c r="B357" s="24" t="s">
        <v>33</v>
      </c>
      <c r="D357" s="32">
        <v>254.9</v>
      </c>
      <c r="F357" s="1">
        <v>6832.99</v>
      </c>
      <c r="G357" s="1">
        <v>1741879.54</v>
      </c>
      <c r="H357" s="1">
        <v>1741879.54</v>
      </c>
      <c r="K357" s="1">
        <f t="shared" si="96"/>
        <v>1590875.12</v>
      </c>
      <c r="L357" s="1">
        <f t="shared" si="101"/>
        <v>151004.41999999993</v>
      </c>
      <c r="M357" s="1">
        <f t="shared" si="94"/>
        <v>-15713.550000000001</v>
      </c>
      <c r="N357" s="1">
        <f t="shared" si="97"/>
        <v>-17418.7954</v>
      </c>
      <c r="O357" s="1">
        <f t="shared" si="95"/>
        <v>-15713.550000000001</v>
      </c>
      <c r="P357" s="1">
        <f t="shared" si="98"/>
        <v>-17418.7954</v>
      </c>
      <c r="Q357" s="1">
        <f t="shared" si="99"/>
        <v>-47140.63999999999</v>
      </c>
      <c r="R357" s="1">
        <f t="shared" si="100"/>
        <v>-52256.3862</v>
      </c>
    </row>
    <row r="358" spans="1:18" ht="12.75">
      <c r="A358" s="16" t="s">
        <v>32</v>
      </c>
      <c r="B358" s="16" t="s">
        <v>34</v>
      </c>
      <c r="D358" s="32">
        <v>214.5</v>
      </c>
      <c r="F358" s="1">
        <v>6585.49</v>
      </c>
      <c r="G358" s="1">
        <v>1412714.16</v>
      </c>
      <c r="H358" s="1">
        <v>1412714.16</v>
      </c>
      <c r="K358" s="1">
        <f t="shared" si="96"/>
        <v>1290067.0099999998</v>
      </c>
      <c r="L358" s="1">
        <f t="shared" si="101"/>
        <v>122647.15000000014</v>
      </c>
      <c r="M358" s="1">
        <f t="shared" si="94"/>
        <v>-13046.109999999999</v>
      </c>
      <c r="N358" s="1">
        <f t="shared" si="97"/>
        <v>-14127.141599999999</v>
      </c>
      <c r="O358" s="1">
        <f t="shared" si="95"/>
        <v>-13046.109999999999</v>
      </c>
      <c r="P358" s="1">
        <f t="shared" si="98"/>
        <v>-14127.141599999999</v>
      </c>
      <c r="Q358" s="1">
        <f t="shared" si="99"/>
        <v>-39138.28</v>
      </c>
      <c r="R358" s="1">
        <f t="shared" si="100"/>
        <v>-42381.42479999999</v>
      </c>
    </row>
    <row r="359" spans="1:18" ht="12.75">
      <c r="A359" s="16" t="s">
        <v>32</v>
      </c>
      <c r="B359" s="27" t="s">
        <v>35</v>
      </c>
      <c r="D359" s="32">
        <v>112</v>
      </c>
      <c r="F359" s="1">
        <v>6430.25</v>
      </c>
      <c r="G359" s="1">
        <v>720254.08</v>
      </c>
      <c r="H359" s="1">
        <v>720254.08</v>
      </c>
      <c r="K359" s="1">
        <f t="shared" si="96"/>
        <v>657663.42</v>
      </c>
      <c r="L359" s="1">
        <f t="shared" si="101"/>
        <v>62590.659999999916</v>
      </c>
      <c r="M359" s="1">
        <f t="shared" si="94"/>
        <v>-6754</v>
      </c>
      <c r="N359" s="1">
        <f t="shared" si="97"/>
        <v>-7202.5408</v>
      </c>
      <c r="O359" s="1">
        <f t="shared" si="95"/>
        <v>-6754</v>
      </c>
      <c r="P359" s="1">
        <f t="shared" si="98"/>
        <v>-7202.5408</v>
      </c>
      <c r="Q359" s="1">
        <f t="shared" si="99"/>
        <v>-20261.97</v>
      </c>
      <c r="R359" s="1">
        <f t="shared" si="100"/>
        <v>-21607.622399999997</v>
      </c>
    </row>
    <row r="360" spans="1:18" ht="12.75">
      <c r="A360" s="16" t="s">
        <v>32</v>
      </c>
      <c r="B360" s="16" t="s">
        <v>36</v>
      </c>
      <c r="D360" s="32">
        <v>385.2</v>
      </c>
      <c r="F360" s="1">
        <v>6452.41</v>
      </c>
      <c r="G360" s="1">
        <v>2485691.75</v>
      </c>
      <c r="H360" s="1">
        <v>2485691.75</v>
      </c>
      <c r="K360" s="1">
        <f t="shared" si="96"/>
        <v>2269717.17</v>
      </c>
      <c r="L360" s="1">
        <f t="shared" si="101"/>
        <v>215974.58000000007</v>
      </c>
      <c r="M360" s="1">
        <f t="shared" si="94"/>
        <v>-23257.340000000004</v>
      </c>
      <c r="N360" s="1">
        <f t="shared" si="97"/>
        <v>-24856.9175</v>
      </c>
      <c r="O360" s="1">
        <f t="shared" si="95"/>
        <v>-23257.340000000004</v>
      </c>
      <c r="P360" s="1">
        <f t="shared" si="98"/>
        <v>-24856.9175</v>
      </c>
      <c r="Q360" s="1">
        <f t="shared" si="99"/>
        <v>-69772.06</v>
      </c>
      <c r="R360" s="1">
        <f t="shared" si="100"/>
        <v>-74570.7525</v>
      </c>
    </row>
    <row r="361" spans="1:18" ht="12.75">
      <c r="A361" s="16" t="s">
        <v>32</v>
      </c>
      <c r="B361" s="16" t="s">
        <v>37</v>
      </c>
      <c r="D361" s="32">
        <v>502</v>
      </c>
      <c r="F361" s="1">
        <v>6464.28</v>
      </c>
      <c r="G361" s="1">
        <v>3245359.72</v>
      </c>
      <c r="H361" s="1">
        <v>3245359.72</v>
      </c>
      <c r="K361" s="1">
        <f t="shared" si="96"/>
        <v>2963400.95</v>
      </c>
      <c r="L361" s="1">
        <f t="shared" si="101"/>
        <v>281958.77</v>
      </c>
      <c r="M361" s="1">
        <f t="shared" si="94"/>
        <v>-30329.270000000004</v>
      </c>
      <c r="N361" s="1">
        <f t="shared" si="97"/>
        <v>-32453.597200000004</v>
      </c>
      <c r="O361" s="1">
        <f t="shared" si="95"/>
        <v>-30329.270000000004</v>
      </c>
      <c r="P361" s="1">
        <f t="shared" si="98"/>
        <v>-32453.597200000004</v>
      </c>
      <c r="Q361" s="1">
        <f t="shared" si="99"/>
        <v>-90987.84999999999</v>
      </c>
      <c r="R361" s="1">
        <f t="shared" si="100"/>
        <v>-97360.7916</v>
      </c>
    </row>
    <row r="362" spans="1:18" ht="12.75">
      <c r="A362" s="16" t="s">
        <v>32</v>
      </c>
      <c r="B362" s="16" t="s">
        <v>38</v>
      </c>
      <c r="D362" s="32">
        <v>305</v>
      </c>
      <c r="F362" s="1">
        <v>6407.89</v>
      </c>
      <c r="G362" s="1">
        <v>1954586.4</v>
      </c>
      <c r="H362" s="1">
        <v>1954586.4</v>
      </c>
      <c r="K362" s="1">
        <f t="shared" si="96"/>
        <v>1784707.0199999998</v>
      </c>
      <c r="L362" s="1">
        <f t="shared" si="101"/>
        <v>169879.38000000012</v>
      </c>
      <c r="M362" s="1">
        <f t="shared" si="94"/>
        <v>-18369.82</v>
      </c>
      <c r="N362" s="1">
        <f t="shared" si="97"/>
        <v>-19545.863999999998</v>
      </c>
      <c r="O362" s="1">
        <f t="shared" si="95"/>
        <v>-18369.82</v>
      </c>
      <c r="P362" s="1">
        <f t="shared" si="98"/>
        <v>-19545.863999999998</v>
      </c>
      <c r="Q362" s="1">
        <f t="shared" si="99"/>
        <v>-55109.49000000002</v>
      </c>
      <c r="R362" s="1">
        <f t="shared" si="100"/>
        <v>-58637.592</v>
      </c>
    </row>
    <row r="363" spans="1:18" ht="12.75">
      <c r="A363" s="16" t="s">
        <v>39</v>
      </c>
      <c r="B363" s="16" t="s">
        <v>40</v>
      </c>
      <c r="D363" s="32">
        <v>189.3</v>
      </c>
      <c r="F363" s="1">
        <v>6833.92</v>
      </c>
      <c r="G363" s="1">
        <v>1293780.32</v>
      </c>
      <c r="H363" s="1">
        <v>1293780.32</v>
      </c>
      <c r="K363" s="1">
        <f t="shared" si="96"/>
        <v>1181368.77</v>
      </c>
      <c r="L363" s="1">
        <f t="shared" si="101"/>
        <v>112411.55000000005</v>
      </c>
      <c r="M363" s="1">
        <f t="shared" si="94"/>
        <v>-12097.269999999997</v>
      </c>
      <c r="N363" s="1">
        <f t="shared" si="97"/>
        <v>-12937.8032</v>
      </c>
      <c r="O363" s="1">
        <f t="shared" si="95"/>
        <v>-12097.269999999997</v>
      </c>
      <c r="P363" s="1">
        <f t="shared" si="98"/>
        <v>-12937.8032</v>
      </c>
      <c r="Q363" s="1">
        <f t="shared" si="99"/>
        <v>-36291.82</v>
      </c>
      <c r="R363" s="1">
        <f t="shared" si="100"/>
        <v>-38813.4096</v>
      </c>
    </row>
    <row r="364" spans="1:18" ht="12.75">
      <c r="A364" s="16" t="s">
        <v>41</v>
      </c>
      <c r="B364" s="16" t="s">
        <v>42</v>
      </c>
      <c r="D364" s="32">
        <v>128</v>
      </c>
      <c r="F364" s="1">
        <v>6550.73</v>
      </c>
      <c r="G364" s="1">
        <v>838567.68</v>
      </c>
      <c r="H364" s="1">
        <v>838567.68</v>
      </c>
      <c r="K364" s="1">
        <f t="shared" si="96"/>
        <v>765738.9499999998</v>
      </c>
      <c r="L364" s="1">
        <f t="shared" si="101"/>
        <v>72828.73000000021</v>
      </c>
      <c r="M364" s="1">
        <f t="shared" si="94"/>
        <v>-7791.569999999999</v>
      </c>
      <c r="N364" s="1">
        <f t="shared" si="97"/>
        <v>-8385.676800000001</v>
      </c>
      <c r="O364" s="1">
        <f t="shared" si="95"/>
        <v>-7791.569999999999</v>
      </c>
      <c r="P364" s="1">
        <f t="shared" si="98"/>
        <v>-8385.676800000001</v>
      </c>
      <c r="Q364" s="1">
        <f t="shared" si="99"/>
        <v>-23374.75</v>
      </c>
      <c r="R364" s="1">
        <f t="shared" si="100"/>
        <v>-25157.0304</v>
      </c>
    </row>
    <row r="365" spans="1:18" ht="12.75">
      <c r="A365" s="16" t="s">
        <v>43</v>
      </c>
      <c r="B365" s="15" t="s">
        <v>44</v>
      </c>
      <c r="D365" s="32">
        <v>289.4</v>
      </c>
      <c r="F365" s="1">
        <v>6379.24</v>
      </c>
      <c r="G365" s="1">
        <v>1846314.12</v>
      </c>
      <c r="H365" s="1">
        <v>1846314.12</v>
      </c>
      <c r="K365" s="1">
        <f t="shared" si="96"/>
        <v>1686023.17</v>
      </c>
      <c r="L365" s="1">
        <f t="shared" si="101"/>
        <v>160290.9500000002</v>
      </c>
      <c r="M365" s="1">
        <f t="shared" si="94"/>
        <v>-17063.819999999996</v>
      </c>
      <c r="N365" s="1">
        <f t="shared" si="97"/>
        <v>-18463.141200000002</v>
      </c>
      <c r="O365" s="1">
        <f t="shared" si="95"/>
        <v>-17063.819999999996</v>
      </c>
      <c r="P365" s="1">
        <f t="shared" si="98"/>
        <v>-18463.141200000002</v>
      </c>
      <c r="Q365" s="1">
        <f t="shared" si="99"/>
        <v>-51191.45999999999</v>
      </c>
      <c r="R365" s="1">
        <f t="shared" si="100"/>
        <v>-55389.4236</v>
      </c>
    </row>
    <row r="366" spans="1:18" ht="12.75">
      <c r="A366" s="16" t="s">
        <v>43</v>
      </c>
      <c r="B366" s="16" t="s">
        <v>45</v>
      </c>
      <c r="D366" s="32">
        <v>152.5</v>
      </c>
      <c r="E366" s="1">
        <v>6462.62</v>
      </c>
      <c r="F366" s="1">
        <v>6227.67</v>
      </c>
      <c r="G366" s="1">
        <v>958850.55</v>
      </c>
      <c r="H366" s="1">
        <v>958850.55</v>
      </c>
      <c r="K366" s="1">
        <f t="shared" si="96"/>
        <v>875646.43</v>
      </c>
      <c r="L366" s="1">
        <f t="shared" si="101"/>
        <v>83204.12</v>
      </c>
      <c r="M366" s="1">
        <f t="shared" si="94"/>
        <v>-8788.69</v>
      </c>
      <c r="N366" s="1">
        <f t="shared" si="97"/>
        <v>-9588.505500000001</v>
      </c>
      <c r="O366" s="1">
        <f t="shared" si="95"/>
        <v>-8788.69</v>
      </c>
      <c r="P366" s="1">
        <f t="shared" si="98"/>
        <v>-9588.505500000001</v>
      </c>
      <c r="Q366" s="1">
        <f t="shared" si="99"/>
        <v>-26366.109999999993</v>
      </c>
      <c r="R366" s="1">
        <f t="shared" si="100"/>
        <v>-28765.5165</v>
      </c>
    </row>
    <row r="367" spans="1:18" ht="12.75">
      <c r="A367" s="16" t="s">
        <v>43</v>
      </c>
      <c r="B367" s="16" t="s">
        <v>46</v>
      </c>
      <c r="D367" s="32">
        <v>363.5</v>
      </c>
      <c r="F367" s="1">
        <v>6227.67</v>
      </c>
      <c r="G367" s="1">
        <v>2263954.34</v>
      </c>
      <c r="H367" s="1">
        <v>2263954.34</v>
      </c>
      <c r="K367" s="1">
        <f t="shared" si="96"/>
        <v>2067500.1400000001</v>
      </c>
      <c r="L367" s="1">
        <f t="shared" si="101"/>
        <v>196454.19999999972</v>
      </c>
      <c r="M367" s="1">
        <f t="shared" si="94"/>
        <v>-20751.14</v>
      </c>
      <c r="N367" s="1">
        <f t="shared" si="97"/>
        <v>-22639.5434</v>
      </c>
      <c r="O367" s="1">
        <f t="shared" si="95"/>
        <v>-20751.14</v>
      </c>
      <c r="P367" s="1">
        <f t="shared" si="98"/>
        <v>-22639.5434</v>
      </c>
      <c r="Q367" s="1">
        <f t="shared" si="99"/>
        <v>-62253.37000000001</v>
      </c>
      <c r="R367" s="1">
        <f t="shared" si="100"/>
        <v>-67918.6302</v>
      </c>
    </row>
    <row r="368" spans="1:18" ht="12.75">
      <c r="A368" s="16" t="s">
        <v>47</v>
      </c>
      <c r="B368" s="16" t="s">
        <v>48</v>
      </c>
      <c r="D368" s="32">
        <v>436.5</v>
      </c>
      <c r="F368" s="1">
        <v>6040.86</v>
      </c>
      <c r="G368" s="1">
        <v>2637075.47</v>
      </c>
      <c r="H368" s="1">
        <v>2637075.47</v>
      </c>
      <c r="K368" s="1">
        <f t="shared" si="96"/>
        <v>2407614.32</v>
      </c>
      <c r="L368" s="1">
        <f t="shared" si="101"/>
        <v>229461.15000000037</v>
      </c>
      <c r="M368" s="1">
        <f t="shared" si="94"/>
        <v>-25244.890000000003</v>
      </c>
      <c r="N368" s="1">
        <f t="shared" si="97"/>
        <v>-26370.7547</v>
      </c>
      <c r="O368" s="1">
        <f t="shared" si="95"/>
        <v>-25244.890000000003</v>
      </c>
      <c r="P368" s="1">
        <f t="shared" si="98"/>
        <v>-26370.7547</v>
      </c>
      <c r="Q368" s="1">
        <f t="shared" si="99"/>
        <v>-75734.68999999999</v>
      </c>
      <c r="R368" s="1">
        <f t="shared" si="100"/>
        <v>-79112.2641</v>
      </c>
    </row>
    <row r="370" spans="4:18" ht="12.75">
      <c r="D370" s="1">
        <f>SUM(D351:D369)</f>
        <v>7598.299999999999</v>
      </c>
      <c r="G370" s="1">
        <f>SUM(G351:G369)</f>
        <v>49379111.14999999</v>
      </c>
      <c r="H370" s="1">
        <f>SUM(H351:H368)</f>
        <v>47361095.03999999</v>
      </c>
      <c r="I370" s="1">
        <f>SUM(I351:I368)</f>
        <v>2018016.11</v>
      </c>
      <c r="K370" s="1">
        <f>SUM(K351:K368)</f>
        <v>44100420.710000016</v>
      </c>
      <c r="L370" s="1">
        <f>SUM(L351:L368)</f>
        <v>3260674.3299999996</v>
      </c>
      <c r="N370" s="1">
        <f>SUM(N351:N368)</f>
        <v>-473610.95040000015</v>
      </c>
      <c r="P370" s="1">
        <f>SUM(P351:P368)</f>
        <v>-473610.95040000015</v>
      </c>
      <c r="R370" s="1">
        <f>SUM(R351:R369)</f>
        <v>-1420832.8511999997</v>
      </c>
    </row>
    <row r="376" spans="1:17" ht="51">
      <c r="A376" s="63" t="s">
        <v>70</v>
      </c>
      <c r="B376" s="64"/>
      <c r="C376" s="64"/>
      <c r="D376" s="12" t="s">
        <v>15</v>
      </c>
      <c r="E376" s="12" t="s">
        <v>16</v>
      </c>
      <c r="F376" s="12" t="s">
        <v>17</v>
      </c>
      <c r="G376" s="12" t="s">
        <v>18</v>
      </c>
      <c r="H376" s="65" t="s">
        <v>62</v>
      </c>
      <c r="I376" s="65" t="s">
        <v>63</v>
      </c>
      <c r="J376" s="12" t="s">
        <v>19</v>
      </c>
      <c r="K376" s="12" t="s">
        <v>20</v>
      </c>
      <c r="L376" s="12" t="s">
        <v>53</v>
      </c>
      <c r="M376" s="12" t="s">
        <v>21</v>
      </c>
      <c r="N376" s="12" t="s">
        <v>49</v>
      </c>
      <c r="O376" s="12" t="s">
        <v>71</v>
      </c>
      <c r="P376" s="12" t="s">
        <v>51</v>
      </c>
      <c r="Q376" s="12" t="s">
        <v>22</v>
      </c>
    </row>
    <row r="379" spans="1:17" ht="12.75">
      <c r="A379" s="16" t="s">
        <v>23</v>
      </c>
      <c r="B379" s="16" t="s">
        <v>24</v>
      </c>
      <c r="D379" s="32">
        <v>1884.7</v>
      </c>
      <c r="F379" s="1">
        <v>6695.25</v>
      </c>
      <c r="G379" s="1">
        <f aca="true" t="shared" si="102" ref="G379:G384">ROUND(D379*F379,2)</f>
        <v>12618537.68</v>
      </c>
      <c r="H379" s="1">
        <f>G379-I379</f>
        <v>10600521.57</v>
      </c>
      <c r="I379" s="1">
        <v>2018016.11</v>
      </c>
      <c r="J379" s="1">
        <f>H379-K351</f>
        <v>68434.90999999829</v>
      </c>
      <c r="K379" s="1">
        <f>ROUND((H379*-0.01)-M351,2)</f>
        <v>-2265.94</v>
      </c>
      <c r="L379" s="1">
        <v>-2265.94</v>
      </c>
      <c r="M379" s="1">
        <f>ROUND((H379*-0.03)-Q351,2)</f>
        <v>-6797.82</v>
      </c>
      <c r="N379" s="1">
        <v>-195252.72</v>
      </c>
      <c r="O379" s="1">
        <v>-4133.58</v>
      </c>
      <c r="P379" s="1">
        <f>J379+K379+L379+M379+N379+O379</f>
        <v>-142281.0900000017</v>
      </c>
      <c r="Q379" s="1">
        <f aca="true" t="shared" si="103" ref="Q379:Q396">P379-L379</f>
        <v>-140015.1500000017</v>
      </c>
    </row>
    <row r="380" spans="1:17" ht="12.75">
      <c r="A380" s="16" t="s">
        <v>25</v>
      </c>
      <c r="B380" s="16" t="s">
        <v>26</v>
      </c>
      <c r="D380" s="32">
        <v>416.7</v>
      </c>
      <c r="F380" s="1">
        <v>6541.29</v>
      </c>
      <c r="G380" s="1">
        <f t="shared" si="102"/>
        <v>2725755.54</v>
      </c>
      <c r="H380" s="1">
        <f>G380</f>
        <v>2725755.54</v>
      </c>
      <c r="J380" s="1">
        <f aca="true" t="shared" si="104" ref="J380:J396">G380-K352</f>
        <v>236532.1299999999</v>
      </c>
      <c r="K380" s="1">
        <f aca="true" t="shared" si="105" ref="K380:K396">ROUND((H380*-0.01)-M352,2)</f>
        <v>-2266.53</v>
      </c>
      <c r="L380" s="1">
        <v>-2266.53</v>
      </c>
      <c r="M380" s="1">
        <f aca="true" t="shared" si="106" ref="M380:M396">ROUND((H380*-0.03)-Q352,2)</f>
        <v>-6799.61</v>
      </c>
      <c r="N380" s="1">
        <v>-994.17</v>
      </c>
      <c r="O380" s="1">
        <v>-858.47</v>
      </c>
      <c r="P380" s="1">
        <f aca="true" t="shared" si="107" ref="P380:P396">J380+K380+L380+M380+N380+O380</f>
        <v>223346.8199999999</v>
      </c>
      <c r="Q380" s="1">
        <f t="shared" si="103"/>
        <v>225613.3499999999</v>
      </c>
    </row>
    <row r="381" spans="1:17" ht="12.75">
      <c r="A381" s="16" t="s">
        <v>5</v>
      </c>
      <c r="B381" s="16" t="s">
        <v>27</v>
      </c>
      <c r="D381" s="32">
        <v>191</v>
      </c>
      <c r="F381" s="1">
        <v>6542.32</v>
      </c>
      <c r="G381" s="1">
        <f t="shared" si="102"/>
        <v>1249583.12</v>
      </c>
      <c r="H381" s="1">
        <f aca="true" t="shared" si="108" ref="H381:H396">G381</f>
        <v>1249583.12</v>
      </c>
      <c r="J381" s="1">
        <f t="shared" si="104"/>
        <v>108793</v>
      </c>
      <c r="K381" s="1">
        <f t="shared" si="105"/>
        <v>-341.02</v>
      </c>
      <c r="L381" s="1">
        <v>-341.02</v>
      </c>
      <c r="M381" s="1">
        <f t="shared" si="106"/>
        <v>-1023.01</v>
      </c>
      <c r="O381" s="1">
        <v>-393.55</v>
      </c>
      <c r="P381" s="1">
        <f t="shared" si="107"/>
        <v>106694.4</v>
      </c>
      <c r="Q381" s="1">
        <f t="shared" si="103"/>
        <v>107035.42</v>
      </c>
    </row>
    <row r="382" spans="1:17" ht="12.75">
      <c r="A382" s="16" t="s">
        <v>5</v>
      </c>
      <c r="B382" s="16" t="s">
        <v>28</v>
      </c>
      <c r="D382" s="32">
        <v>1343.5</v>
      </c>
      <c r="F382" s="1">
        <v>6228.21</v>
      </c>
      <c r="G382" s="1">
        <f t="shared" si="102"/>
        <v>8367600.14</v>
      </c>
      <c r="H382" s="1">
        <f t="shared" si="108"/>
        <v>8367600.14</v>
      </c>
      <c r="J382" s="1">
        <f t="shared" si="104"/>
        <v>726096.8300000001</v>
      </c>
      <c r="K382" s="1">
        <f t="shared" si="105"/>
        <v>-6979.63</v>
      </c>
      <c r="L382" s="1">
        <v>-6979.63</v>
      </c>
      <c r="M382" s="1">
        <f t="shared" si="106"/>
        <v>-20938.93</v>
      </c>
      <c r="O382" s="1">
        <v>-2635.37</v>
      </c>
      <c r="P382" s="1">
        <f t="shared" si="107"/>
        <v>688563.27</v>
      </c>
      <c r="Q382" s="1">
        <f t="shared" si="103"/>
        <v>695542.9</v>
      </c>
    </row>
    <row r="383" spans="1:17" ht="12.75">
      <c r="A383" s="16" t="s">
        <v>5</v>
      </c>
      <c r="B383" s="16" t="s">
        <v>29</v>
      </c>
      <c r="D383" s="32">
        <v>236.4</v>
      </c>
      <c r="F383" s="1">
        <v>7169.9</v>
      </c>
      <c r="G383" s="1">
        <f t="shared" si="102"/>
        <v>1694964.36</v>
      </c>
      <c r="H383" s="1">
        <f t="shared" si="108"/>
        <v>1694964.36</v>
      </c>
      <c r="J383" s="1">
        <f t="shared" si="104"/>
        <v>147087.45000000042</v>
      </c>
      <c r="K383" s="1">
        <f t="shared" si="105"/>
        <v>-1411.4</v>
      </c>
      <c r="L383" s="1">
        <v>-1411.4</v>
      </c>
      <c r="M383" s="1">
        <f t="shared" si="106"/>
        <v>-4234.19</v>
      </c>
      <c r="O383" s="1">
        <v>-533.83</v>
      </c>
      <c r="P383" s="1">
        <f t="shared" si="107"/>
        <v>139496.63000000044</v>
      </c>
      <c r="Q383" s="1">
        <f t="shared" si="103"/>
        <v>140908.03000000044</v>
      </c>
    </row>
    <row r="384" spans="1:17" ht="12.75">
      <c r="A384" s="16" t="s">
        <v>30</v>
      </c>
      <c r="B384" s="16" t="s">
        <v>31</v>
      </c>
      <c r="D384" s="32">
        <v>193.2</v>
      </c>
      <c r="F384" s="1">
        <v>6851.15</v>
      </c>
      <c r="G384" s="1">
        <f t="shared" si="102"/>
        <v>1323642.18</v>
      </c>
      <c r="H384" s="1">
        <f t="shared" si="108"/>
        <v>1323642.18</v>
      </c>
      <c r="J384" s="1">
        <f t="shared" si="104"/>
        <v>115024.34999999986</v>
      </c>
      <c r="K384" s="1">
        <f t="shared" si="105"/>
        <v>-824.71</v>
      </c>
      <c r="L384" s="1">
        <v>-824.71</v>
      </c>
      <c r="M384" s="1">
        <f t="shared" si="106"/>
        <v>-2474.17</v>
      </c>
      <c r="O384" s="1">
        <v>-416.88</v>
      </c>
      <c r="P384" s="1">
        <f t="shared" si="107"/>
        <v>110483.87999999984</v>
      </c>
      <c r="Q384" s="1">
        <f t="shared" si="103"/>
        <v>111308.58999999985</v>
      </c>
    </row>
    <row r="385" spans="1:17" ht="12.75" customHeight="1">
      <c r="A385" s="16" t="s">
        <v>32</v>
      </c>
      <c r="B385" s="24" t="s">
        <v>33</v>
      </c>
      <c r="D385" s="32">
        <v>254.9</v>
      </c>
      <c r="F385" s="1">
        <v>6833.58</v>
      </c>
      <c r="G385" s="1">
        <f aca="true" t="shared" si="109" ref="G385:G396">ROUND(D385*F385,2)</f>
        <v>1741879.54</v>
      </c>
      <c r="H385" s="1">
        <f t="shared" si="108"/>
        <v>1741879.54</v>
      </c>
      <c r="J385" s="1">
        <f t="shared" si="104"/>
        <v>151004.41999999993</v>
      </c>
      <c r="K385" s="1">
        <f t="shared" si="105"/>
        <v>-1705.25</v>
      </c>
      <c r="L385" s="1">
        <v>-1705.25</v>
      </c>
      <c r="M385" s="1">
        <f t="shared" si="106"/>
        <v>-5115.75</v>
      </c>
      <c r="N385" s="1">
        <v>-17750</v>
      </c>
      <c r="O385" s="1">
        <v>-548.6</v>
      </c>
      <c r="P385" s="1">
        <f t="shared" si="107"/>
        <v>124179.56999999992</v>
      </c>
      <c r="Q385" s="1">
        <f t="shared" si="103"/>
        <v>125884.81999999992</v>
      </c>
    </row>
    <row r="386" spans="1:17" ht="12.75">
      <c r="A386" s="16" t="s">
        <v>32</v>
      </c>
      <c r="B386" s="16" t="s">
        <v>34</v>
      </c>
      <c r="D386" s="32">
        <v>214.5</v>
      </c>
      <c r="F386" s="1">
        <v>6586.08</v>
      </c>
      <c r="G386" s="1">
        <f t="shared" si="109"/>
        <v>1412714.16</v>
      </c>
      <c r="H386" s="1">
        <f t="shared" si="108"/>
        <v>1412714.16</v>
      </c>
      <c r="J386" s="1">
        <f t="shared" si="104"/>
        <v>122647.15000000014</v>
      </c>
      <c r="K386" s="1">
        <f t="shared" si="105"/>
        <v>-1081.03</v>
      </c>
      <c r="L386" s="1">
        <v>-1081.03</v>
      </c>
      <c r="M386" s="1">
        <f t="shared" si="106"/>
        <v>-3243.14</v>
      </c>
      <c r="O386" s="1">
        <v>-444.93</v>
      </c>
      <c r="P386" s="1">
        <f t="shared" si="107"/>
        <v>116797.02000000015</v>
      </c>
      <c r="Q386" s="1">
        <f t="shared" si="103"/>
        <v>117878.05000000015</v>
      </c>
    </row>
    <row r="387" spans="1:17" ht="12.75">
      <c r="A387" s="16" t="s">
        <v>32</v>
      </c>
      <c r="B387" s="27" t="s">
        <v>35</v>
      </c>
      <c r="D387" s="32">
        <v>112</v>
      </c>
      <c r="F387" s="1">
        <v>6430.84</v>
      </c>
      <c r="G387" s="1">
        <f t="shared" si="109"/>
        <v>720254.08</v>
      </c>
      <c r="H387" s="1">
        <f t="shared" si="108"/>
        <v>720254.08</v>
      </c>
      <c r="J387" s="1">
        <f t="shared" si="104"/>
        <v>62590.659999999916</v>
      </c>
      <c r="K387" s="1">
        <f t="shared" si="105"/>
        <v>-448.54</v>
      </c>
      <c r="L387" s="1">
        <v>-448.54</v>
      </c>
      <c r="M387" s="1">
        <f t="shared" si="106"/>
        <v>-1345.65</v>
      </c>
      <c r="O387" s="1">
        <v>-226.84</v>
      </c>
      <c r="P387" s="1">
        <f t="shared" si="107"/>
        <v>60121.08999999992</v>
      </c>
      <c r="Q387" s="1">
        <f t="shared" si="103"/>
        <v>60569.62999999992</v>
      </c>
    </row>
    <row r="388" spans="1:17" ht="12.75">
      <c r="A388" s="16" t="s">
        <v>32</v>
      </c>
      <c r="B388" s="16" t="s">
        <v>36</v>
      </c>
      <c r="D388" s="32">
        <v>385.2</v>
      </c>
      <c r="F388" s="1">
        <v>6452.99</v>
      </c>
      <c r="G388" s="1">
        <f t="shared" si="109"/>
        <v>2485691.75</v>
      </c>
      <c r="H388" s="1">
        <f t="shared" si="108"/>
        <v>2485691.75</v>
      </c>
      <c r="J388" s="1">
        <f t="shared" si="104"/>
        <v>215974.58000000007</v>
      </c>
      <c r="K388" s="1">
        <f t="shared" si="105"/>
        <v>-1599.58</v>
      </c>
      <c r="L388" s="1">
        <v>-1599.58</v>
      </c>
      <c r="M388" s="1">
        <f t="shared" si="106"/>
        <v>-4798.69</v>
      </c>
      <c r="N388" s="1">
        <v>-44150</v>
      </c>
      <c r="O388" s="1">
        <v>-782.87</v>
      </c>
      <c r="P388" s="1">
        <f t="shared" si="107"/>
        <v>163043.8600000001</v>
      </c>
      <c r="Q388" s="1">
        <f t="shared" si="103"/>
        <v>164643.4400000001</v>
      </c>
    </row>
    <row r="389" spans="1:17" ht="12.75">
      <c r="A389" s="16" t="s">
        <v>32</v>
      </c>
      <c r="B389" s="16" t="s">
        <v>37</v>
      </c>
      <c r="D389" s="32">
        <v>502</v>
      </c>
      <c r="F389" s="1">
        <v>6464.86</v>
      </c>
      <c r="G389" s="1">
        <f t="shared" si="109"/>
        <v>3245359.72</v>
      </c>
      <c r="H389" s="1">
        <f t="shared" si="108"/>
        <v>3245359.72</v>
      </c>
      <c r="J389" s="1">
        <f t="shared" si="104"/>
        <v>281958.77</v>
      </c>
      <c r="K389" s="1">
        <f t="shared" si="105"/>
        <v>-2124.33</v>
      </c>
      <c r="L389" s="1">
        <v>-2124.33</v>
      </c>
      <c r="M389" s="1">
        <f t="shared" si="106"/>
        <v>-6372.94</v>
      </c>
      <c r="O389" s="1">
        <v>-1022.12</v>
      </c>
      <c r="P389" s="1">
        <f t="shared" si="107"/>
        <v>270315.05</v>
      </c>
      <c r="Q389" s="1">
        <f t="shared" si="103"/>
        <v>272439.38</v>
      </c>
    </row>
    <row r="390" spans="1:17" ht="12.75">
      <c r="A390" s="16" t="s">
        <v>32</v>
      </c>
      <c r="B390" s="16" t="s">
        <v>38</v>
      </c>
      <c r="D390" s="32">
        <v>305</v>
      </c>
      <c r="F390" s="1">
        <v>6408.48</v>
      </c>
      <c r="G390" s="1">
        <f t="shared" si="109"/>
        <v>1954586.4</v>
      </c>
      <c r="H390" s="1">
        <f t="shared" si="108"/>
        <v>1954586.4</v>
      </c>
      <c r="J390" s="1">
        <f t="shared" si="104"/>
        <v>169879.38000000012</v>
      </c>
      <c r="K390" s="1">
        <f t="shared" si="105"/>
        <v>-1176.04</v>
      </c>
      <c r="L390" s="1">
        <v>-1176.04</v>
      </c>
      <c r="M390" s="1">
        <f t="shared" si="106"/>
        <v>-3528.1</v>
      </c>
      <c r="O390" s="1">
        <v>-615.6</v>
      </c>
      <c r="P390" s="1">
        <f t="shared" si="107"/>
        <v>163383.6000000001</v>
      </c>
      <c r="Q390" s="1">
        <f t="shared" si="103"/>
        <v>164559.6400000001</v>
      </c>
    </row>
    <row r="391" spans="1:17" ht="12.75">
      <c r="A391" s="16" t="s">
        <v>39</v>
      </c>
      <c r="B391" s="16" t="s">
        <v>40</v>
      </c>
      <c r="D391" s="32">
        <v>189.3</v>
      </c>
      <c r="F391" s="1">
        <v>6834.55</v>
      </c>
      <c r="G391" s="1">
        <f t="shared" si="109"/>
        <v>1293780.32</v>
      </c>
      <c r="H391" s="1">
        <f t="shared" si="108"/>
        <v>1293780.32</v>
      </c>
      <c r="J391" s="1">
        <f t="shared" si="104"/>
        <v>112411.55000000005</v>
      </c>
      <c r="K391" s="1">
        <f t="shared" si="105"/>
        <v>-840.53</v>
      </c>
      <c r="L391" s="1">
        <v>-840.53</v>
      </c>
      <c r="M391" s="1">
        <f t="shared" si="106"/>
        <v>-2521.59</v>
      </c>
      <c r="O391" s="1">
        <v>-407.47</v>
      </c>
      <c r="P391" s="1">
        <f t="shared" si="107"/>
        <v>107801.43000000005</v>
      </c>
      <c r="Q391" s="1">
        <f t="shared" si="103"/>
        <v>108641.96000000005</v>
      </c>
    </row>
    <row r="392" spans="1:17" ht="12.75">
      <c r="A392" s="16" t="s">
        <v>41</v>
      </c>
      <c r="B392" s="16" t="s">
        <v>42</v>
      </c>
      <c r="D392" s="32">
        <v>128</v>
      </c>
      <c r="F392" s="1">
        <v>6551.31</v>
      </c>
      <c r="G392" s="1">
        <f t="shared" si="109"/>
        <v>838567.68</v>
      </c>
      <c r="H392" s="1">
        <f t="shared" si="108"/>
        <v>838567.68</v>
      </c>
      <c r="J392" s="1">
        <f t="shared" si="104"/>
        <v>72828.73000000021</v>
      </c>
      <c r="K392" s="1">
        <f t="shared" si="105"/>
        <v>-594.11</v>
      </c>
      <c r="L392" s="1">
        <v>-594.11</v>
      </c>
      <c r="M392" s="1">
        <f t="shared" si="106"/>
        <v>-1782.28</v>
      </c>
      <c r="O392" s="1">
        <v>-264.11</v>
      </c>
      <c r="P392" s="1">
        <f t="shared" si="107"/>
        <v>69594.12000000021</v>
      </c>
      <c r="Q392" s="1">
        <f t="shared" si="103"/>
        <v>70188.23000000021</v>
      </c>
    </row>
    <row r="393" spans="1:17" ht="12.75">
      <c r="A393" s="16" t="s">
        <v>43</v>
      </c>
      <c r="B393" s="15" t="s">
        <v>44</v>
      </c>
      <c r="D393" s="32">
        <v>289.4</v>
      </c>
      <c r="F393" s="1">
        <v>6379.8</v>
      </c>
      <c r="G393" s="1">
        <f t="shared" si="109"/>
        <v>1846314.12</v>
      </c>
      <c r="H393" s="1">
        <f t="shared" si="108"/>
        <v>1846314.12</v>
      </c>
      <c r="J393" s="1">
        <f t="shared" si="104"/>
        <v>160290.9500000002</v>
      </c>
      <c r="K393" s="1">
        <f t="shared" si="105"/>
        <v>-1399.32</v>
      </c>
      <c r="L393" s="1">
        <v>-1399.32</v>
      </c>
      <c r="M393" s="1">
        <f t="shared" si="106"/>
        <v>-4197.96</v>
      </c>
      <c r="N393" s="1">
        <v>-40566.66</v>
      </c>
      <c r="O393" s="1">
        <v>-581.49</v>
      </c>
      <c r="P393" s="1">
        <f t="shared" si="107"/>
        <v>112146.20000000017</v>
      </c>
      <c r="Q393" s="1">
        <f t="shared" si="103"/>
        <v>113545.52000000018</v>
      </c>
    </row>
    <row r="394" spans="1:17" ht="12.75">
      <c r="A394" s="16" t="s">
        <v>43</v>
      </c>
      <c r="B394" s="16" t="s">
        <v>45</v>
      </c>
      <c r="D394" s="32">
        <v>152.5</v>
      </c>
      <c r="E394" s="1">
        <v>6463.23</v>
      </c>
      <c r="F394" s="1">
        <v>6228.21</v>
      </c>
      <c r="G394" s="1">
        <f>ROUND((F394*D394)+(E394*1.4),2)</f>
        <v>958850.55</v>
      </c>
      <c r="H394" s="1">
        <f t="shared" si="108"/>
        <v>958850.55</v>
      </c>
      <c r="J394" s="1">
        <f t="shared" si="104"/>
        <v>83204.12</v>
      </c>
      <c r="K394" s="1">
        <f t="shared" si="105"/>
        <v>-799.82</v>
      </c>
      <c r="L394" s="1">
        <v>-799.82</v>
      </c>
      <c r="M394" s="1">
        <f t="shared" si="106"/>
        <v>-2399.41</v>
      </c>
      <c r="O394" s="1">
        <v>-301.99</v>
      </c>
      <c r="P394" s="1">
        <f t="shared" si="107"/>
        <v>78903.07999999997</v>
      </c>
      <c r="Q394" s="1">
        <f t="shared" si="103"/>
        <v>79702.89999999998</v>
      </c>
    </row>
    <row r="395" spans="1:17" ht="12.75">
      <c r="A395" s="16" t="s">
        <v>43</v>
      </c>
      <c r="B395" s="16" t="s">
        <v>46</v>
      </c>
      <c r="D395" s="32">
        <v>363.5</v>
      </c>
      <c r="F395" s="1">
        <v>6228.21</v>
      </c>
      <c r="G395" s="1">
        <f t="shared" si="109"/>
        <v>2263954.34</v>
      </c>
      <c r="H395" s="1">
        <f t="shared" si="108"/>
        <v>2263954.34</v>
      </c>
      <c r="J395" s="1">
        <f t="shared" si="104"/>
        <v>196454.19999999972</v>
      </c>
      <c r="K395" s="1">
        <f t="shared" si="105"/>
        <v>-1888.4</v>
      </c>
      <c r="L395" s="1">
        <v>-1888.4</v>
      </c>
      <c r="M395" s="1">
        <f t="shared" si="106"/>
        <v>-5665.26</v>
      </c>
      <c r="O395" s="1">
        <v>-713.03</v>
      </c>
      <c r="P395" s="1">
        <f t="shared" si="107"/>
        <v>186299.10999999972</v>
      </c>
      <c r="Q395" s="1">
        <f t="shared" si="103"/>
        <v>188187.50999999972</v>
      </c>
    </row>
    <row r="396" spans="1:17" ht="12.75">
      <c r="A396" s="16" t="s">
        <v>47</v>
      </c>
      <c r="B396" s="16" t="s">
        <v>48</v>
      </c>
      <c r="D396" s="32">
        <v>436.5</v>
      </c>
      <c r="F396" s="1">
        <v>6041.41</v>
      </c>
      <c r="G396" s="1">
        <f t="shared" si="109"/>
        <v>2637075.47</v>
      </c>
      <c r="H396" s="1">
        <f t="shared" si="108"/>
        <v>2637075.47</v>
      </c>
      <c r="J396" s="1">
        <f t="shared" si="104"/>
        <v>229461.15000000037</v>
      </c>
      <c r="K396" s="1">
        <f t="shared" si="105"/>
        <v>-1125.86</v>
      </c>
      <c r="L396" s="1">
        <v>-1125.86</v>
      </c>
      <c r="M396" s="1">
        <f t="shared" si="106"/>
        <v>-3377.57</v>
      </c>
      <c r="N396" s="1">
        <v>-31340.63</v>
      </c>
      <c r="O396" s="1">
        <v>-830.54</v>
      </c>
      <c r="P396" s="1">
        <f t="shared" si="107"/>
        <v>191660.69000000038</v>
      </c>
      <c r="Q396" s="1">
        <f t="shared" si="103"/>
        <v>192786.55000000037</v>
      </c>
    </row>
    <row r="398" spans="7:17" ht="12.75">
      <c r="G398" s="1">
        <f>SUM(G379:G397)</f>
        <v>49379111.14999999</v>
      </c>
      <c r="H398" s="1">
        <f>SUM(H379:H397)</f>
        <v>47361095.03999999</v>
      </c>
      <c r="J398" s="1">
        <f aca="true" t="shared" si="110" ref="J398:Q398">SUM(J379:J397)</f>
        <v>3260674.3299999996</v>
      </c>
      <c r="K398" s="1">
        <f t="shared" si="110"/>
        <v>-28872.04</v>
      </c>
      <c r="L398" s="1">
        <f t="shared" si="110"/>
        <v>-28872.04</v>
      </c>
      <c r="M398" s="1">
        <f t="shared" si="110"/>
        <v>-86616.07000000002</v>
      </c>
      <c r="N398" s="1">
        <f t="shared" si="110"/>
        <v>-330054.18000000005</v>
      </c>
      <c r="O398" s="1">
        <f t="shared" si="110"/>
        <v>-15711.270000000004</v>
      </c>
      <c r="P398" s="1">
        <f t="shared" si="110"/>
        <v>2770548.7299999995</v>
      </c>
      <c r="Q398" s="1">
        <f t="shared" si="110"/>
        <v>2799420.769999999</v>
      </c>
    </row>
    <row r="400" ht="12.75">
      <c r="P400" s="1">
        <v>2770548.729999997</v>
      </c>
    </row>
    <row r="401" ht="12.75">
      <c r="O401" s="66"/>
    </row>
    <row r="403" ht="12.75">
      <c r="P403" s="1">
        <f>P398-P400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  <headerFooter alignWithMargins="0">
    <oddFooter>&amp;LCDE, Public School Finance&amp;C&amp;P&amp;R&amp;D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cp:lastPrinted>2011-05-12T20:17:39Z</cp:lastPrinted>
  <dcterms:created xsi:type="dcterms:W3CDTF">2010-07-08T15:44:52Z</dcterms:created>
  <dcterms:modified xsi:type="dcterms:W3CDTF">2011-06-17T17:42:31Z</dcterms:modified>
  <cp:category/>
  <cp:version/>
  <cp:contentType/>
  <cp:contentStatus/>
</cp:coreProperties>
</file>