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ponsor Grant Codes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1.0"/>
      <color theme="1"/>
      <name val="Century Gothic"/>
    </font>
    <font>
      <sz val="13.0"/>
      <color theme="1"/>
      <name val="Century Gothic"/>
    </font>
    <font>
      <b/>
      <sz val="13.0"/>
      <color theme="1"/>
      <name val="Century Gothic"/>
    </font>
    <font>
      <strike/>
      <sz val="11.0"/>
      <color theme="1"/>
      <name val="Century Gothic"/>
    </font>
    <font>
      <b/>
      <i/>
      <sz val="11.0"/>
      <color theme="1"/>
      <name val="Century Gothic"/>
    </font>
    <font/>
  </fonts>
  <fills count="9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FFF2CC"/>
        <bgColor rgb="FFFFF2CC"/>
      </patternFill>
    </fill>
  </fills>
  <borders count="19">
    <border/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right"/>
    </xf>
    <xf borderId="0" fillId="0" fontId="1" numFmtId="0" xfId="0" applyAlignment="1" applyFont="1">
      <alignment shrinkToFit="0" wrapText="1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shrinkToFit="0" vertical="center" wrapText="1"/>
    </xf>
    <xf borderId="4" fillId="0" fontId="1" numFmtId="0" xfId="0" applyBorder="1" applyFont="1"/>
    <xf borderId="5" fillId="0" fontId="1" numFmtId="0" xfId="0" applyAlignment="1" applyBorder="1" applyFont="1">
      <alignment horizontal="right"/>
    </xf>
    <xf borderId="5" fillId="0" fontId="1" numFmtId="0" xfId="0" applyBorder="1" applyFont="1"/>
    <xf borderId="6" fillId="0" fontId="1" numFmtId="0" xfId="0" applyAlignment="1" applyBorder="1" applyFont="1">
      <alignment shrinkToFit="0" wrapText="1"/>
    </xf>
    <xf borderId="7" fillId="0" fontId="1" numFmtId="0" xfId="0" applyBorder="1" applyFont="1"/>
    <xf borderId="8" fillId="0" fontId="1" numFmtId="0" xfId="0" applyAlignment="1" applyBorder="1" applyFont="1">
      <alignment horizontal="right"/>
    </xf>
    <xf borderId="8" fillId="0" fontId="1" numFmtId="0" xfId="0" applyBorder="1" applyFont="1"/>
    <xf borderId="9" fillId="0" fontId="1" numFmtId="0" xfId="0" applyAlignment="1" applyBorder="1" applyFont="1">
      <alignment shrinkToFit="0" wrapText="1"/>
    </xf>
    <xf borderId="8" fillId="0" fontId="1" numFmtId="49" xfId="0" applyAlignment="1" applyBorder="1" applyFont="1" applyNumberFormat="1">
      <alignment horizontal="right"/>
    </xf>
    <xf borderId="0" fillId="0" fontId="4" numFmtId="0" xfId="0" applyFont="1"/>
    <xf borderId="7" fillId="0" fontId="4" numFmtId="0" xfId="0" applyBorder="1" applyFont="1"/>
    <xf borderId="8" fillId="0" fontId="4" numFmtId="0" xfId="0" applyAlignment="1" applyBorder="1" applyFont="1">
      <alignment horizontal="right"/>
    </xf>
    <xf borderId="8" fillId="0" fontId="4" numFmtId="0" xfId="0" applyBorder="1" applyFont="1"/>
    <xf borderId="9" fillId="0" fontId="4" numFmtId="0" xfId="0" applyAlignment="1" applyBorder="1" applyFont="1">
      <alignment shrinkToFit="0" wrapText="1"/>
    </xf>
    <xf borderId="7" fillId="3" fontId="1" numFmtId="0" xfId="0" applyBorder="1" applyFill="1" applyFont="1"/>
    <xf borderId="8" fillId="3" fontId="1" numFmtId="0" xfId="0" applyAlignment="1" applyBorder="1" applyFont="1">
      <alignment horizontal="right"/>
    </xf>
    <xf borderId="8" fillId="3" fontId="1" numFmtId="0" xfId="0" applyBorder="1" applyFont="1"/>
    <xf borderId="9" fillId="3" fontId="1" numFmtId="0" xfId="0" applyAlignment="1" applyBorder="1" applyFont="1">
      <alignment shrinkToFit="0" wrapText="1"/>
    </xf>
    <xf borderId="10" fillId="0" fontId="1" numFmtId="0" xfId="0" applyBorder="1" applyFont="1"/>
    <xf borderId="11" fillId="0" fontId="1" numFmtId="0" xfId="0" applyAlignment="1" applyBorder="1" applyFont="1">
      <alignment horizontal="right"/>
    </xf>
    <xf borderId="11" fillId="0" fontId="1" numFmtId="0" xfId="0" applyBorder="1" applyFont="1"/>
    <xf borderId="12" fillId="4" fontId="1" numFmtId="0" xfId="0" applyAlignment="1" applyBorder="1" applyFill="1" applyFont="1">
      <alignment shrinkToFit="0" wrapText="1"/>
    </xf>
    <xf borderId="0" fillId="0" fontId="5" numFmtId="0" xfId="0" applyFont="1"/>
    <xf borderId="13" fillId="5" fontId="5" numFmtId="0" xfId="0" applyBorder="1" applyFill="1" applyFont="1"/>
    <xf borderId="14" fillId="0" fontId="6" numFmtId="0" xfId="0" applyBorder="1" applyFont="1"/>
    <xf borderId="15" fillId="0" fontId="6" numFmtId="0" xfId="0" applyBorder="1" applyFont="1"/>
    <xf borderId="9" fillId="4" fontId="1" numFmtId="0" xfId="0" applyAlignment="1" applyBorder="1" applyFont="1">
      <alignment shrinkToFit="0" wrapText="1"/>
    </xf>
    <xf borderId="7" fillId="6" fontId="1" numFmtId="0" xfId="0" applyBorder="1" applyFill="1" applyFont="1"/>
    <xf borderId="8" fillId="6" fontId="1" numFmtId="0" xfId="0" applyAlignment="1" applyBorder="1" applyFont="1">
      <alignment horizontal="right"/>
    </xf>
    <xf borderId="8" fillId="6" fontId="1" numFmtId="0" xfId="0" applyBorder="1" applyFont="1"/>
    <xf borderId="9" fillId="6" fontId="1" numFmtId="0" xfId="0" applyAlignment="1" applyBorder="1" applyFont="1">
      <alignment shrinkToFit="0" wrapText="1"/>
    </xf>
    <xf borderId="1" fillId="6" fontId="3" numFmtId="0" xfId="0" applyAlignment="1" applyBorder="1" applyFont="1">
      <alignment vertical="center"/>
    </xf>
    <xf borderId="2" fillId="6" fontId="3" numFmtId="0" xfId="0" applyAlignment="1" applyBorder="1" applyFont="1">
      <alignment horizontal="right" vertical="center"/>
    </xf>
    <xf borderId="2" fillId="6" fontId="3" numFmtId="0" xfId="0" applyAlignment="1" applyBorder="1" applyFont="1">
      <alignment horizontal="center" shrinkToFit="0" vertical="center" wrapText="1"/>
    </xf>
    <xf borderId="3" fillId="6" fontId="3" numFmtId="0" xfId="0" applyAlignment="1" applyBorder="1" applyFont="1">
      <alignment shrinkToFit="0" vertical="center" wrapText="1"/>
    </xf>
    <xf borderId="13" fillId="7" fontId="5" numFmtId="0" xfId="0" applyBorder="1" applyFill="1" applyFont="1"/>
    <xf borderId="8" fillId="7" fontId="1" numFmtId="0" xfId="0" applyAlignment="1" applyBorder="1" applyFont="1">
      <alignment horizontal="right"/>
    </xf>
    <xf borderId="7" fillId="8" fontId="1" numFmtId="0" xfId="0" applyBorder="1" applyFill="1" applyFont="1"/>
    <xf borderId="8" fillId="8" fontId="1" numFmtId="0" xfId="0" applyAlignment="1" applyBorder="1" applyFont="1">
      <alignment horizontal="right"/>
    </xf>
    <xf borderId="8" fillId="8" fontId="1" numFmtId="0" xfId="0" applyBorder="1" applyFont="1"/>
    <xf borderId="9" fillId="8" fontId="1" numFmtId="0" xfId="0" applyAlignment="1" applyBorder="1" applyFont="1">
      <alignment shrinkToFit="0" wrapText="1"/>
    </xf>
    <xf borderId="1" fillId="8" fontId="3" numFmtId="0" xfId="0" applyAlignment="1" applyBorder="1" applyFont="1">
      <alignment vertical="center"/>
    </xf>
    <xf borderId="2" fillId="8" fontId="3" numFmtId="0" xfId="0" applyAlignment="1" applyBorder="1" applyFont="1">
      <alignment horizontal="right" vertical="center"/>
    </xf>
    <xf borderId="2" fillId="8" fontId="3" numFmtId="0" xfId="0" applyAlignment="1" applyBorder="1" applyFont="1">
      <alignment horizontal="center" shrinkToFit="0" vertical="center" wrapText="1"/>
    </xf>
    <xf borderId="2" fillId="8" fontId="3" numFmtId="0" xfId="0" applyAlignment="1" applyBorder="1" applyFont="1">
      <alignment horizontal="center" vertical="center"/>
    </xf>
    <xf borderId="3" fillId="8" fontId="3" numFmtId="0" xfId="0" applyAlignment="1" applyBorder="1" applyFont="1">
      <alignment shrinkToFit="0" vertical="center" wrapText="1"/>
    </xf>
    <xf borderId="16" fillId="0" fontId="1" numFmtId="0" xfId="0" applyBorder="1" applyFont="1"/>
    <xf borderId="17" fillId="0" fontId="1" numFmtId="0" xfId="0" applyAlignment="1" applyBorder="1" applyFont="1">
      <alignment horizontal="right"/>
    </xf>
    <xf borderId="17" fillId="0" fontId="1" numFmtId="0" xfId="0" applyBorder="1" applyFont="1"/>
    <xf borderId="18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3.0"/>
    <col customWidth="1" min="3" max="3" width="13.38"/>
    <col customWidth="1" min="4" max="4" width="15.5"/>
    <col customWidth="1" min="5" max="5" width="13.38"/>
    <col customWidth="1" min="6" max="6" width="56.75"/>
  </cols>
  <sheetData>
    <row r="1">
      <c r="A1" s="1" t="str">
        <f>IFERROR(__xludf.DUMMYFUNCTION("IMPORTRANGE(""https://docs.google.com/spreadsheets/d/1Zcwrbw5wuQPNHPaQrztOo6-wDl1AVcQoeo5Dg5yIubE/edit#gid=746574727"",""School Nutrition Grant Codes!a1:F38"")"),"")</f>
        <v/>
      </c>
      <c r="B1" s="1"/>
      <c r="C1" s="2"/>
      <c r="D1" s="1"/>
      <c r="E1" s="1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1.25" customHeight="1">
      <c r="A2" s="4"/>
      <c r="B2" s="5" t="str">
        <f>IFERROR(__xludf.DUMMYFUNCTION("""COMPUTED_VALUE"""),"Federal Child Nutrition Programs")</f>
        <v>Federal Child Nutrition Programs</v>
      </c>
      <c r="C2" s="6" t="str">
        <f>IFERROR(__xludf.DUMMYFUNCTION("""COMPUTED_VALUE"""),"CFDA#")</f>
        <v>CFDA#</v>
      </c>
      <c r="D2" s="6" t="str">
        <f>IFERROR(__xludf.DUMMYFUNCTION("""COMPUTED_VALUE"""),"Grant/Project")</f>
        <v>Grant/Project</v>
      </c>
      <c r="E2" s="6" t="str">
        <f>IFERROR(__xludf.DUMMYFUNCTION("""COMPUTED_VALUE"""),"Source Code")</f>
        <v>Source Code</v>
      </c>
      <c r="F2" s="7" t="str">
        <f>IFERROR(__xludf.DUMMYFUNCTION("""COMPUTED_VALUE"""),"Notes")</f>
        <v>Notes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1"/>
      <c r="B3" s="8" t="str">
        <f>IFERROR(__xludf.DUMMYFUNCTION("""COMPUTED_VALUE"""),"School Breakfast Program (SBP)")</f>
        <v>School Breakfast Program (SBP)</v>
      </c>
      <c r="C3" s="9">
        <f>IFERROR(__xludf.DUMMYFUNCTION("""COMPUTED_VALUE"""),10.553)</f>
        <v>10.553</v>
      </c>
      <c r="D3" s="10">
        <f>IFERROR(__xludf.DUMMYFUNCTION("""COMPUTED_VALUE"""),4553.0)</f>
        <v>4553</v>
      </c>
      <c r="E3" s="10">
        <f>IFERROR(__xludf.DUMMYFUNCTION("""COMPUTED_VALUE"""),4000.0)</f>
        <v>4000</v>
      </c>
      <c r="F3" s="11" t="str">
        <f>IFERROR(__xludf.DUMMYFUNCTION("""COMPUTED_VALUE"""),"student breakfast meal federal reimbursement")</f>
        <v>student breakfast meal federal reimbursement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4.75" customHeight="1">
      <c r="A4" s="1"/>
      <c r="B4" s="12" t="str">
        <f>IFERROR(__xludf.DUMMYFUNCTION("""COMPUTED_VALUE"""),"National School Lunch Program (NSLP)")</f>
        <v>National School Lunch Program (NSLP)</v>
      </c>
      <c r="C4" s="13">
        <f>IFERROR(__xludf.DUMMYFUNCTION("""COMPUTED_VALUE"""),10.555)</f>
        <v>10.555</v>
      </c>
      <c r="D4" s="14">
        <f>IFERROR(__xludf.DUMMYFUNCTION("""COMPUTED_VALUE"""),4555.0)</f>
        <v>4555</v>
      </c>
      <c r="E4" s="14">
        <f>IFERROR(__xludf.DUMMYFUNCTION("""COMPUTED_VALUE"""),4000.0)</f>
        <v>4000</v>
      </c>
      <c r="F4" s="15" t="str">
        <f>IFERROR(__xludf.DUMMYFUNCTION("""COMPUTED_VALUE"""),"student lunch meal federal reimbursement")</f>
        <v>student lunch meal federal reimbursement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4.75" customHeight="1">
      <c r="A5" s="1"/>
      <c r="B5" s="12" t="str">
        <f>IFERROR(__xludf.DUMMYFUNCTION("""COMPUTED_VALUE"""),"After School Snack Program (ASP)")</f>
        <v>After School Snack Program (ASP)</v>
      </c>
      <c r="C5" s="13">
        <f>IFERROR(__xludf.DUMMYFUNCTION("""COMPUTED_VALUE"""),10.555)</f>
        <v>10.555</v>
      </c>
      <c r="D5" s="14">
        <f>IFERROR(__xludf.DUMMYFUNCTION("""COMPUTED_VALUE"""),4555.0)</f>
        <v>4555</v>
      </c>
      <c r="E5" s="14">
        <f>IFERROR(__xludf.DUMMYFUNCTION("""COMPUTED_VALUE"""),4000.0)</f>
        <v>4000</v>
      </c>
      <c r="F5" s="15" t="str">
        <f>IFERROR(__xludf.DUMMYFUNCTION("""COMPUTED_VALUE"""),"student snack federal reimbursement")</f>
        <v>student snack federal reimbursement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4.75" customHeight="1">
      <c r="A6" s="1"/>
      <c r="B6" s="12" t="str">
        <f>IFERROR(__xludf.DUMMYFUNCTION("""COMPUTED_VALUE"""),"Special Milk Program for Children (SMP)")</f>
        <v>Special Milk Program for Children (SMP)</v>
      </c>
      <c r="C6" s="13">
        <f>IFERROR(__xludf.DUMMYFUNCTION("""COMPUTED_VALUE"""),10.556)</f>
        <v>10.556</v>
      </c>
      <c r="D6" s="14">
        <f>IFERROR(__xludf.DUMMYFUNCTION("""COMPUTED_VALUE"""),4556.0)</f>
        <v>4556</v>
      </c>
      <c r="E6" s="14">
        <f>IFERROR(__xludf.DUMMYFUNCTION("""COMPUTED_VALUE"""),4000.0)</f>
        <v>4000</v>
      </c>
      <c r="F6" s="15" t="str">
        <f>IFERROR(__xludf.DUMMYFUNCTION("""COMPUTED_VALUE"""),"student milk program federal reimbursement")</f>
        <v>student milk program federal reimbursement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4.75" customHeight="1">
      <c r="A7" s="1"/>
      <c r="B7" s="12" t="str">
        <f>IFERROR(__xludf.DUMMYFUNCTION("""COMPUTED_VALUE"""),"Summer Food Service Program for Children (SFSP)")</f>
        <v>Summer Food Service Program for Children (SFSP)</v>
      </c>
      <c r="C7" s="13">
        <f>IFERROR(__xludf.DUMMYFUNCTION("""COMPUTED_VALUE"""),10.559)</f>
        <v>10.559</v>
      </c>
      <c r="D7" s="14">
        <f>IFERROR(__xludf.DUMMYFUNCTION("""COMPUTED_VALUE"""),4559.0)</f>
        <v>4559</v>
      </c>
      <c r="E7" s="14">
        <f>IFERROR(__xludf.DUMMYFUNCTION("""COMPUTED_VALUE"""),4000.0)</f>
        <v>4000</v>
      </c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4.75" customHeight="1">
      <c r="A8" s="1"/>
      <c r="B8" s="12" t="str">
        <f>IFERROR(__xludf.DUMMYFUNCTION("""COMPUTED_VALUE"""),"Fresh Fruit &amp; Vegetable Program (FFVP)")</f>
        <v>Fresh Fruit &amp; Vegetable Program (FFVP)</v>
      </c>
      <c r="C8" s="13">
        <f>IFERROR(__xludf.DUMMYFUNCTION("""COMPUTED_VALUE"""),10.582)</f>
        <v>10.582</v>
      </c>
      <c r="D8" s="14">
        <f>IFERROR(__xludf.DUMMYFUNCTION("""COMPUTED_VALUE"""),4582.0)</f>
        <v>4582</v>
      </c>
      <c r="E8" s="14">
        <f>IFERROR(__xludf.DUMMYFUNCTION("""COMPUTED_VALUE"""),4000.0)</f>
        <v>4000</v>
      </c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4.75" customHeight="1">
      <c r="A9" s="1"/>
      <c r="B9" s="12" t="str">
        <f>IFERROR(__xludf.DUMMYFUNCTION("""COMPUTED_VALUE"""),"Supply Chain Assistance (SCA) 2021-2024")</f>
        <v>Supply Chain Assistance (SCA) 2021-2024</v>
      </c>
      <c r="C9" s="16" t="str">
        <f>IFERROR(__xludf.DUMMYFUNCTION("""COMPUTED_VALUE"""),"10.555")</f>
        <v>10.555</v>
      </c>
      <c r="D9" s="14">
        <f>IFERROR(__xludf.DUMMYFUNCTION("""COMPUTED_VALUE"""),6555.0)</f>
        <v>6555</v>
      </c>
      <c r="E9" s="14">
        <f>IFERROR(__xludf.DUMMYFUNCTION("""COMPUTED_VALUE"""),4000.0)</f>
        <v>4000</v>
      </c>
      <c r="F9" s="15" t="str">
        <f>IFERROR(__xludf.DUMMYFUNCTION("""COMPUTED_VALUE"""),"rounds of funding (1-4)")</f>
        <v>rounds of funding (1-4)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4.75" customHeight="1">
      <c r="A10" s="17"/>
      <c r="B10" s="18" t="str">
        <f>IFERROR(__xludf.DUMMYFUNCTION("""COMPUTED_VALUE"""),"Farm to School Implementation Grant")</f>
        <v>Farm to School Implementation Grant</v>
      </c>
      <c r="C10" s="19">
        <f>IFERROR(__xludf.DUMMYFUNCTION("""COMPUTED_VALUE"""),10.575)</f>
        <v>10.575</v>
      </c>
      <c r="D10" s="20">
        <f>IFERROR(__xludf.DUMMYFUNCTION("""COMPUTED_VALUE"""),4575.0)</f>
        <v>4575</v>
      </c>
      <c r="E10" s="20">
        <f>IFERROR(__xludf.DUMMYFUNCTION("""COMPUTED_VALUE"""),4000.0)</f>
        <v>4000</v>
      </c>
      <c r="F10" s="21" t="str">
        <f>IFERROR(__xludf.DUMMYFUNCTION("""COMPUTED_VALUE"""),"ends Sept 2022")</f>
        <v>ends Sept 2022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ht="33.75" customHeight="1">
      <c r="A11" s="1"/>
      <c r="B11" s="12" t="str">
        <f>IFERROR(__xludf.DUMMYFUNCTION("""COMPUTED_VALUE"""),"Local Food for Schools (LFS) Cooperative")</f>
        <v>Local Food for Schools (LFS) Cooperative</v>
      </c>
      <c r="C11" s="13">
        <f>IFERROR(__xludf.DUMMYFUNCTION("""COMPUTED_VALUE"""),10.185)</f>
        <v>10.185</v>
      </c>
      <c r="D11" s="14">
        <f>IFERROR(__xludf.DUMMYFUNCTION("""COMPUTED_VALUE"""),4185.0)</f>
        <v>4185</v>
      </c>
      <c r="E11" s="14">
        <f>IFERROR(__xludf.DUMMYFUNCTION("""COMPUTED_VALUE"""),4000.0)</f>
        <v>4000</v>
      </c>
      <c r="F11" s="15" t="str">
        <f>IFERROR(__xludf.DUMMYFUNCTION("""COMPUTED_VALUE"""),"encouraged to use 0639 for local food purchases with grant code")</f>
        <v>encouraged to use 0639 for local food purchases with grant code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5.25" customHeight="1">
      <c r="A12" s="1"/>
      <c r="B12" s="22"/>
      <c r="C12" s="23"/>
      <c r="D12" s="24"/>
      <c r="E12" s="24"/>
      <c r="F12" s="2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4.75" customHeight="1">
      <c r="A13" s="1"/>
      <c r="B13" s="12" t="str">
        <f>IFERROR(__xludf.DUMMYFUNCTION("""COMPUTED_VALUE"""),"USDA Foods/Commodities")</f>
        <v>USDA Foods/Commodities</v>
      </c>
      <c r="C13" s="13">
        <f>IFERROR(__xludf.DUMMYFUNCTION("""COMPUTED_VALUE"""),10.555)</f>
        <v>10.555</v>
      </c>
      <c r="D13" s="14">
        <f>IFERROR(__xludf.DUMMYFUNCTION("""COMPUTED_VALUE"""),4555.0)</f>
        <v>4555</v>
      </c>
      <c r="E13" s="14">
        <f>IFERROR(__xludf.DUMMYFUNCTION("""COMPUTED_VALUE"""),4010.0)</f>
        <v>4010</v>
      </c>
      <c r="F13" s="15" t="str">
        <f>IFERROR(__xludf.DUMMYFUNCTION("""COMPUTED_VALUE"""),"including SAE Reallocation - shipping and storage")</f>
        <v>including SAE Reallocation - shipping and storage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4.75" customHeight="1">
      <c r="A14" s="1"/>
      <c r="B14" s="12" t="str">
        <f>IFERROR(__xludf.DUMMYFUNCTION("""COMPUTED_VALUE"""),"Child and Adult Care Food Program (CACFP)")</f>
        <v>Child and Adult Care Food Program (CACFP)</v>
      </c>
      <c r="C14" s="13">
        <f>IFERROR(__xludf.DUMMYFUNCTION("""COMPUTED_VALUE"""),10.558)</f>
        <v>10.558</v>
      </c>
      <c r="D14" s="14">
        <f>IFERROR(__xludf.DUMMYFUNCTION("""COMPUTED_VALUE"""),4558.0)</f>
        <v>4558</v>
      </c>
      <c r="E14" s="14">
        <f>IFERROR(__xludf.DUMMYFUNCTION("""COMPUTED_VALUE"""),4010.0)</f>
        <v>4010</v>
      </c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4.75" customHeight="1">
      <c r="A15" s="1"/>
      <c r="B15" s="26" t="str">
        <f>IFERROR(__xludf.DUMMYFUNCTION("""COMPUTED_VALUE"""),"Healthy Meals Incentive")</f>
        <v>Healthy Meals Incentive</v>
      </c>
      <c r="C15" s="27">
        <f>IFERROR(__xludf.DUMMYFUNCTION("""COMPUTED_VALUE"""),10.579)</f>
        <v>10.579</v>
      </c>
      <c r="D15" s="28">
        <f>IFERROR(__xludf.DUMMYFUNCTION("""COMPUTED_VALUE"""),8579.0)</f>
        <v>8579</v>
      </c>
      <c r="E15" s="28">
        <f>IFERROR(__xludf.DUMMYFUNCTION("""COMPUTED_VALUE"""),4010.0)</f>
        <v>4010</v>
      </c>
      <c r="F15" s="29" t="str">
        <f>IFERROR(__xludf.DUMMYFUNCTION("""COMPUTED_VALUE"""),"new - Aug 2023- Sept 2025; AFHK funding")</f>
        <v>new - Aug 2023- Sept 2025; AFHK funding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3.25" customHeight="1">
      <c r="A16" s="30"/>
      <c r="B16" s="31" t="str">
        <f>IFERROR(__xludf.DUMMYFUNCTION("""COMPUTED_VALUE"""),"Federal Grants - recommended outside of Food Service Fund")</f>
        <v>Federal Grants - recommended outside of Food Service Fund</v>
      </c>
      <c r="C16" s="32"/>
      <c r="D16" s="32"/>
      <c r="E16" s="32"/>
      <c r="F16" s="33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26.25" customHeight="1">
      <c r="A17" s="1"/>
      <c r="B17" s="8" t="str">
        <f>IFERROR(__xludf.DUMMYFUNCTION("""COMPUTED_VALUE"""),"National School Lunch Equipment Assistance")</f>
        <v>National School Lunch Equipment Assistance</v>
      </c>
      <c r="C17" s="9">
        <f>IFERROR(__xludf.DUMMYFUNCTION("""COMPUTED_VALUE"""),10.579)</f>
        <v>10.579</v>
      </c>
      <c r="D17" s="10">
        <f>IFERROR(__xludf.DUMMYFUNCTION("""COMPUTED_VALUE"""),5579.0)</f>
        <v>5579</v>
      </c>
      <c r="E17" s="10">
        <f>IFERROR(__xludf.DUMMYFUNCTION("""COMPUTED_VALUE"""),4000.0)</f>
        <v>4000</v>
      </c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6.25" customHeight="1">
      <c r="A18" s="1"/>
      <c r="B18" s="12" t="str">
        <f>IFERROR(__xludf.DUMMYFUNCTION("""COMPUTED_VALUE"""),"Summer EBT Local Admin Funds - FED")</f>
        <v>Summer EBT Local Admin Funds - FED</v>
      </c>
      <c r="C18" s="13">
        <f>IFERROR(__xludf.DUMMYFUNCTION("""COMPUTED_VALUE"""),10.646)</f>
        <v>10.646</v>
      </c>
      <c r="D18" s="14">
        <f>IFERROR(__xludf.DUMMYFUNCTION("""COMPUTED_VALUE"""),4646.0)</f>
        <v>4646</v>
      </c>
      <c r="E18" s="14">
        <f>IFERROR(__xludf.DUMMYFUNCTION("""COMPUTED_VALUE"""),4000.0)</f>
        <v>4000</v>
      </c>
      <c r="F18" s="34" t="str">
        <f>IFERROR(__xludf.DUMMYFUNCTION("""COMPUTED_VALUE"""),"new - 2023-24")</f>
        <v>new - 2023-24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1.5" customHeight="1">
      <c r="A19" s="17"/>
      <c r="B19" s="18" t="str">
        <f>IFERROR(__xludf.DUMMYFUNCTION("""COMPUTED_VALUE"""),"P-EBT Mini Grants")</f>
        <v>P-EBT Mini Grants</v>
      </c>
      <c r="C19" s="19">
        <f>IFERROR(__xludf.DUMMYFUNCTION("""COMPUTED_VALUE"""),10.649)</f>
        <v>10.649</v>
      </c>
      <c r="D19" s="20">
        <f>IFERROR(__xludf.DUMMYFUNCTION("""COMPUTED_VALUE"""),4649.0)</f>
        <v>4649</v>
      </c>
      <c r="E19" s="20">
        <f>IFERROR(__xludf.DUMMYFUNCTION("""COMPUTED_VALUE"""),4000.0)</f>
        <v>4000</v>
      </c>
      <c r="F19" s="21" t="str">
        <f>IFERROR(__xludf.DUMMYFUNCTION("""COMPUTED_VALUE"""),"rounds of funding (1-4); cover administration costs for P-EBT data collections")</f>
        <v>rounds of funding (1-4); cover administration costs for P-EBT data collections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ht="6.75" customHeight="1">
      <c r="A20" s="1"/>
      <c r="B20" s="35"/>
      <c r="C20" s="36"/>
      <c r="D20" s="37"/>
      <c r="E20" s="37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5.25" customHeight="1">
      <c r="A21" s="4"/>
      <c r="B21" s="39" t="str">
        <f>IFERROR(__xludf.DUMMYFUNCTION("""COMPUTED_VALUE"""),"State Child Nutrition Programs")</f>
        <v>State Child Nutrition Programs</v>
      </c>
      <c r="C21" s="40"/>
      <c r="D21" s="41" t="str">
        <f>IFERROR(__xludf.DUMMYFUNCTION("""COMPUTED_VALUE"""),"Grant/Project")</f>
        <v>Grant/Project</v>
      </c>
      <c r="E21" s="41" t="str">
        <f>IFERROR(__xludf.DUMMYFUNCTION("""COMPUTED_VALUE"""),"Source Code")</f>
        <v>Source Code</v>
      </c>
      <c r="F21" s="42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1"/>
      <c r="B22" s="12" t="str">
        <f>IFERROR(__xludf.DUMMYFUNCTION("""COMPUTED_VALUE"""),"Lunch Protection Act")</f>
        <v>Lunch Protection Act</v>
      </c>
      <c r="C22" s="36"/>
      <c r="D22" s="14">
        <f>IFERROR(__xludf.DUMMYFUNCTION("""COMPUTED_VALUE"""),3169.0)</f>
        <v>3169</v>
      </c>
      <c r="E22" s="14">
        <f>IFERROR(__xludf.DUMMYFUNCTION("""COMPUTED_VALUE"""),3000.0)</f>
        <v>3000</v>
      </c>
      <c r="F22" s="15" t="str">
        <f>IFERROR(__xludf.DUMMYFUNCTION("""COMPUTED_VALUE"""),"reduced price lunch co-pay")</f>
        <v>reduced price lunch co-pay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24.75" customHeight="1">
      <c r="A23" s="1"/>
      <c r="B23" s="12" t="str">
        <f>IFERROR(__xludf.DUMMYFUNCTION("""COMPUTED_VALUE"""),"Start Smart Nutrition Program")</f>
        <v>Start Smart Nutrition Program</v>
      </c>
      <c r="C23" s="36"/>
      <c r="D23" s="14">
        <f>IFERROR(__xludf.DUMMYFUNCTION("""COMPUTED_VALUE"""),3164.0)</f>
        <v>3164</v>
      </c>
      <c r="E23" s="14">
        <f>IFERROR(__xludf.DUMMYFUNCTION("""COMPUTED_VALUE"""),3000.0)</f>
        <v>3000</v>
      </c>
      <c r="F23" s="15" t="str">
        <f>IFERROR(__xludf.DUMMYFUNCTION("""COMPUTED_VALUE"""),"reduced price breakfast co-pay")</f>
        <v>reduced price breakfast co-pay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24.75" customHeight="1">
      <c r="A24" s="1"/>
      <c r="B24" s="12" t="str">
        <f>IFERROR(__xludf.DUMMYFUNCTION("""COMPUTED_VALUE"""),"State Matching Funds")</f>
        <v>State Matching Funds</v>
      </c>
      <c r="C24" s="36"/>
      <c r="D24" s="14">
        <f>IFERROR(__xludf.DUMMYFUNCTION("""COMPUTED_VALUE"""),3161.0)</f>
        <v>3161</v>
      </c>
      <c r="E24" s="14">
        <f>IFERROR(__xludf.DUMMYFUNCTION("""COMPUTED_VALUE"""),3000.0)</f>
        <v>3000</v>
      </c>
      <c r="F24" s="15" t="str">
        <f>IFERROR(__xludf.DUMMYFUNCTION("""COMPUTED_VALUE"""),"annual")</f>
        <v>annual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24.75" customHeight="1">
      <c r="A25" s="1"/>
      <c r="B25" s="12" t="str">
        <f>IFERROR(__xludf.DUMMYFUNCTION("""COMPUTED_VALUE"""),"CO Health Foundation - Mini Grants")</f>
        <v>CO Health Foundation - Mini Grants</v>
      </c>
      <c r="C25" s="36"/>
      <c r="D25" s="14">
        <f>IFERROR(__xludf.DUMMYFUNCTION("""COMPUTED_VALUE"""),3501.0)</f>
        <v>3501</v>
      </c>
      <c r="E25" s="14">
        <f>IFERROR(__xludf.DUMMYFUNCTION("""COMPUTED_VALUE"""),3000.0)</f>
        <v>3000</v>
      </c>
      <c r="F25" s="1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24.75" customHeight="1">
      <c r="A26" s="1"/>
      <c r="B26" s="12" t="str">
        <f>IFERROR(__xludf.DUMMYFUNCTION("""COMPUTED_VALUE"""),"Local Food Purchasing (LFP)")</f>
        <v>Local Food Purchasing (LFP)</v>
      </c>
      <c r="C26" s="36"/>
      <c r="D26" s="14">
        <f>IFERROR(__xludf.DUMMYFUNCTION("""COMPUTED_VALUE"""),3249.0)</f>
        <v>3249</v>
      </c>
      <c r="E26" s="14">
        <f>IFERROR(__xludf.DUMMYFUNCTION("""COMPUTED_VALUE"""),3000.0)</f>
        <v>3000</v>
      </c>
      <c r="F26" s="15" t="str">
        <f>IFERROR(__xludf.DUMMYFUNCTION("""COMPUTED_VALUE"""),"encouraged to use 0639 for local food purchases with grant code")</f>
        <v>encouraged to use 0639 for local food purchases with grant code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4.75" customHeight="1">
      <c r="A27" s="1"/>
      <c r="B27" s="12" t="str">
        <f>IFERROR(__xludf.DUMMYFUNCTION("""COMPUTED_VALUE"""),"Healthy School Meals for All (HSMA) - Lunch")</f>
        <v>Healthy School Meals for All (HSMA) - Lunch</v>
      </c>
      <c r="C27" s="36"/>
      <c r="D27" s="14">
        <f>IFERROR(__xludf.DUMMYFUNCTION("""COMPUTED_VALUE"""),3162.0)</f>
        <v>3162</v>
      </c>
      <c r="E27" s="14">
        <f>IFERROR(__xludf.DUMMYFUNCTION("""COMPUTED_VALUE"""),3000.0)</f>
        <v>3000</v>
      </c>
      <c r="F27" s="15" t="str">
        <f>IFERROR(__xludf.DUMMYFUNCTION("""COMPUTED_VALUE"""),"meal reimbursement - starting in SY 2023-24")</f>
        <v>meal reimbursement - starting in SY 2023-24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"/>
      <c r="B28" s="12" t="str">
        <f>IFERROR(__xludf.DUMMYFUNCTION("""COMPUTED_VALUE"""),"Healthy School Meals for All (HSMA) - Breakfast")</f>
        <v>Healthy School Meals for All (HSMA) - Breakfast</v>
      </c>
      <c r="C28" s="36"/>
      <c r="D28" s="14">
        <f>IFERROR(__xludf.DUMMYFUNCTION("""COMPUTED_VALUE"""),3163.0)</f>
        <v>3163</v>
      </c>
      <c r="E28" s="14">
        <f>IFERROR(__xludf.DUMMYFUNCTION("""COMPUTED_VALUE"""),3000.0)</f>
        <v>3000</v>
      </c>
      <c r="F28" s="15" t="str">
        <f>IFERROR(__xludf.DUMMYFUNCTION("""COMPUTED_VALUE"""),"meal reimbursement - starting in SY 2023-24")</f>
        <v>meal reimbursement - starting in SY 2023-24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23.25" customHeight="1">
      <c r="A29" s="30"/>
      <c r="B29" s="43" t="str">
        <f>IFERROR(__xludf.DUMMYFUNCTION("""COMPUTED_VALUE"""),"State Grants - recommended outside of Food Service Fund")</f>
        <v>State Grants - recommended outside of Food Service Fund</v>
      </c>
      <c r="C29" s="32"/>
      <c r="D29" s="32"/>
      <c r="E29" s="32"/>
      <c r="F29" s="33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24.75" customHeight="1">
      <c r="A30" s="1"/>
      <c r="B30" s="12" t="str">
        <f>IFERROR(__xludf.DUMMYFUNCTION("""COMPUTED_VALUE"""),"Summer EBT Local Admin Funds - STATE")</f>
        <v>Summer EBT Local Admin Funds - STATE</v>
      </c>
      <c r="C30" s="44"/>
      <c r="D30" s="14">
        <f>IFERROR(__xludf.DUMMYFUNCTION("""COMPUTED_VALUE"""),3292.0)</f>
        <v>3292</v>
      </c>
      <c r="E30" s="14">
        <f>IFERROR(__xludf.DUMMYFUNCTION("""COMPUTED_VALUE"""),3000.0)</f>
        <v>3000</v>
      </c>
      <c r="F30" s="15" t="str">
        <f>IFERROR(__xludf.DUMMYFUNCTION("""COMPUTED_VALUE"""),"new - 2023-24")</f>
        <v>new - 2023-24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4.75" customHeight="1">
      <c r="A31" s="1"/>
      <c r="B31" s="12"/>
      <c r="C31" s="44"/>
      <c r="D31" s="14"/>
      <c r="E31" s="14"/>
      <c r="F31" s="1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.75" customHeight="1">
      <c r="A32" s="1"/>
      <c r="B32" s="45"/>
      <c r="C32" s="46"/>
      <c r="D32" s="47"/>
      <c r="E32" s="47"/>
      <c r="F32" s="4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9.25" customHeight="1">
      <c r="A33" s="4"/>
      <c r="B33" s="49" t="str">
        <f>IFERROR(__xludf.DUMMYFUNCTION("""COMPUTED_VALUE"""),"Private/Local Grants")</f>
        <v>Private/Local Grants</v>
      </c>
      <c r="C33" s="50"/>
      <c r="D33" s="51"/>
      <c r="E33" s="52"/>
      <c r="F33" s="5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75" customHeight="1">
      <c r="A34" s="1"/>
      <c r="B34" s="12" t="str">
        <f>IFERROR(__xludf.DUMMYFUNCTION("""COMPUTED_VALUE"""),"Dairy Max - GenYouth")</f>
        <v>Dairy Max - GenYouth</v>
      </c>
      <c r="C34" s="13"/>
      <c r="D34" s="14"/>
      <c r="E34" s="14" t="str">
        <f>IFERROR(__xludf.DUMMYFUNCTION("""COMPUTED_VALUE"""),"1920 or 1900")</f>
        <v>1920 or 1900</v>
      </c>
      <c r="F34" s="15" t="str">
        <f>IFERROR(__xludf.DUMMYFUNCTION("""COMPUTED_VALUE"""),"Private Grant - DMAX-COVID 19")</f>
        <v>Private Grant - DMAX-COVID 19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4.75" customHeight="1">
      <c r="A35" s="1"/>
      <c r="B35" s="12" t="str">
        <f>IFERROR(__xludf.DUMMYFUNCTION("""COMPUTED_VALUE"""),"Agriculture in the K‐12 Classroom (SPECA) Challenge Grant")</f>
        <v>Agriculture in the K‐12 Classroom (SPECA) Challenge Grant</v>
      </c>
      <c r="C35" s="13">
        <f>IFERROR(__xludf.DUMMYFUNCTION("""COMPUTED_VALUE"""),10.226)</f>
        <v>10.226</v>
      </c>
      <c r="D35" s="14">
        <f>IFERROR(__xludf.DUMMYFUNCTION("""COMPUTED_VALUE"""),4226.0)</f>
        <v>4226</v>
      </c>
      <c r="E35" s="14">
        <f>IFERROR(__xludf.DUMMYFUNCTION("""COMPUTED_VALUE"""),4000.0)</f>
        <v>4000</v>
      </c>
      <c r="F35" s="1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4.75" customHeight="1">
      <c r="A36" s="1"/>
      <c r="B36" s="12" t="str">
        <f>IFERROR(__xludf.DUMMYFUNCTION("""COMPUTED_VALUE"""),"Twenty‐First Century Community Learning Centers")</f>
        <v>Twenty‐First Century Community Learning Centers</v>
      </c>
      <c r="C36" s="13">
        <f>IFERROR(__xludf.DUMMYFUNCTION("""COMPUTED_VALUE"""),84.287)</f>
        <v>84.287</v>
      </c>
      <c r="D36" s="14">
        <f>IFERROR(__xludf.DUMMYFUNCTION("""COMPUTED_VALUE"""),5287.0)</f>
        <v>5287</v>
      </c>
      <c r="E36" s="14">
        <f>IFERROR(__xludf.DUMMYFUNCTION("""COMPUTED_VALUE"""),4000.0)</f>
        <v>4000</v>
      </c>
      <c r="F36" s="1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4.75" customHeight="1">
      <c r="A37" s="1"/>
      <c r="B37" s="54" t="str">
        <f>IFERROR(__xludf.DUMMYFUNCTION("""COMPUTED_VALUE"""),"ELO")</f>
        <v>ELO</v>
      </c>
      <c r="C37" s="55">
        <f>IFERROR(__xludf.DUMMYFUNCTION("""COMPUTED_VALUE"""),84.287)</f>
        <v>84.287</v>
      </c>
      <c r="D37" s="56">
        <f>IFERROR(__xludf.DUMMYFUNCTION("""COMPUTED_VALUE"""),6287.0)</f>
        <v>6287</v>
      </c>
      <c r="E37" s="56">
        <f>IFERROR(__xludf.DUMMYFUNCTION("""COMPUTED_VALUE"""),4000.0)</f>
        <v>4000</v>
      </c>
      <c r="F37" s="5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 t="str">
        <f>IFERROR(__xludf.DUMMYFUNCTION("""COMPUTED_VALUE"""),"*SRE Code 94 (optional) - can be used to isolate emergency revenue and expenses")</f>
        <v>*SRE Code 94 (optional) - can be used to isolate emergency revenue and expenses</v>
      </c>
      <c r="C38" s="2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2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2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2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2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2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2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2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2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2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2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2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2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2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2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2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2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2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2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2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2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2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2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2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2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2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2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2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2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2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2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2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2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2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2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2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2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2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2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2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2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2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2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2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2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2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2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2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2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2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2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2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2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2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2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2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2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2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2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2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2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2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2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2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2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2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2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2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2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6:F16"/>
    <mergeCell ref="B29:F29"/>
  </mergeCells>
  <drawing r:id="rId1"/>
</worksheet>
</file>