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_Payments\Distribution Sheets\Competitive Distribution\"/>
    </mc:Choice>
  </mc:AlternateContent>
  <xr:revisionPtr revIDLastSave="0" documentId="13_ncr:1_{6EB4D01D-4E52-4B3B-81CC-4E5E1359C61E}" xr6:coauthVersionLast="47" xr6:coauthVersionMax="47" xr10:uidLastSave="{00000000-0000-0000-0000-000000000000}"/>
  <workbookProtection workbookAlgorithmName="SHA-512" workbookHashValue="S6cFRHy0k2/mbOv5rbO5+FEC3dfRbmmcrkze96oj5z8Dprkrmz4qIpurwS2se3G/d98FVeiByoqFXqL8uJbqIQ==" workbookSaltValue="1LzpvJFiJmATf9adIScwvg==" workbookSpinCount="100000" lockStructure="1"/>
  <bookViews>
    <workbookView xWindow="-108" yWindow="-108" windowWidth="23256" windowHeight="12576" tabRatio="961" activeTab="2" xr2:uid="{00000000-000D-0000-FFFF-FFFF00000000}"/>
  </bookViews>
  <sheets>
    <sheet name="21ST C7 " sheetId="97" r:id="rId1"/>
    <sheet name="21ST C8" sheetId="126" r:id="rId2"/>
    <sheet name="SRAE" sheetId="116" r:id="rId3"/>
    <sheet name="Colorado School Climate" sheetId="138" state="hidden" r:id="rId4"/>
    <sheet name="MTB Framework" sheetId="143" state="hidden" r:id="rId5"/>
    <sheet name="AEFLA " sheetId="93" r:id="rId6"/>
    <sheet name="BEST Instruction" sheetId="132" state="hidden" r:id="rId7"/>
    <sheet name="AEFLA Match &amp; PI" sheetId="139" state="hidden" r:id="rId8"/>
    <sheet name="CDC Impr Student Health" sheetId="141" r:id="rId9"/>
    <sheet name="DB Centers" sheetId="133" state="hidden" r:id="rId10"/>
    <sheet name="High Flyers" sheetId="125" state="hidden" r:id="rId11"/>
    <sheet name="IEL_CIVICS " sheetId="130" r:id="rId12"/>
    <sheet name="JAVITS R4R" sheetId="136" state="hidden" r:id="rId13"/>
    <sheet name="JAVITS R4R Y042" sheetId="137" state="hidden" r:id="rId14"/>
    <sheet name="IEL CIVICS Match &amp; PI" sheetId="140" state="hidden" r:id="rId15"/>
    <sheet name="McKinney Vento" sheetId="131" r:id="rId16"/>
    <sheet name="MSIX" sheetId="99" state="hidden" r:id="rId17"/>
    <sheet name="MTSS " sheetId="113" state="hidden" r:id="rId18"/>
    <sheet name="Project Aware" sheetId="145" r:id="rId19"/>
    <sheet name="TITLE IC MIGRANT" sheetId="118" r:id="rId20"/>
    <sheet name="TITLE II B MSP" sheetId="95" state="hidden" r:id="rId21"/>
    <sheet name="Title III PD" sheetId="128" r:id="rId22"/>
    <sheet name="All_Allocations" sheetId="147" state="hidden" r:id="rId23"/>
    <sheet name="Charter School Remote Learning" sheetId="144" r:id="rId24"/>
    <sheet name="TITLE VI Charter 2020" sheetId="142" r:id="rId25"/>
    <sheet name="TITLE V CHARTER 44xC " sheetId="121" r:id="rId26"/>
    <sheet name="Sheet1" sheetId="146" state="hidden" r:id="rId27"/>
  </sheets>
  <definedNames>
    <definedName name="_xlnm._FilterDatabase" localSheetId="0" hidden="1">'21ST C7 '!$A$8:$AB$8</definedName>
    <definedName name="_xlnm._FilterDatabase" localSheetId="1" hidden="1">'21ST C8'!$A$8:$AP$46</definedName>
    <definedName name="_xlnm._FilterDatabase" localSheetId="22" hidden="1">All_Allocations!$A$1:$J$67</definedName>
    <definedName name="_xlnm._FilterDatabase" localSheetId="23" hidden="1">'Charter School Remote Learning'!$A$8:$CF$72</definedName>
    <definedName name="_xlnm._FilterDatabase" localSheetId="25" hidden="1">'TITLE V CHARTER 44xC '!$A$8:$AA$15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16" l="1"/>
  <c r="V10" i="116"/>
  <c r="V11" i="116"/>
  <c r="V12" i="116"/>
  <c r="V13" i="116"/>
  <c r="V9" i="116"/>
  <c r="F10" i="116"/>
  <c r="F11" i="116"/>
  <c r="F12" i="116"/>
  <c r="F13" i="116"/>
  <c r="F14" i="116"/>
  <c r="F9" i="116"/>
  <c r="X14" i="118" l="1"/>
  <c r="T9" i="116"/>
  <c r="T15" i="116" s="1"/>
  <c r="W10" i="118"/>
  <c r="W30" i="144"/>
  <c r="W19" i="142"/>
  <c r="H11" i="121"/>
  <c r="H12" i="121"/>
  <c r="H15" i="121"/>
  <c r="H9" i="121"/>
  <c r="K3" i="147"/>
  <c r="K4" i="147"/>
  <c r="K5" i="147"/>
  <c r="K6" i="147"/>
  <c r="K7" i="147"/>
  <c r="K8" i="147"/>
  <c r="K9" i="147"/>
  <c r="K10" i="147"/>
  <c r="K11" i="147"/>
  <c r="K12" i="147"/>
  <c r="K13" i="147"/>
  <c r="K14" i="147"/>
  <c r="K15" i="147"/>
  <c r="K16" i="147"/>
  <c r="K17" i="147"/>
  <c r="K18" i="147"/>
  <c r="K19" i="147"/>
  <c r="K20" i="147"/>
  <c r="K21" i="147"/>
  <c r="K22" i="147"/>
  <c r="K23" i="147"/>
  <c r="K24" i="147"/>
  <c r="K25" i="147"/>
  <c r="K26" i="147"/>
  <c r="K27" i="147"/>
  <c r="K28" i="147"/>
  <c r="K29" i="147"/>
  <c r="K30" i="147"/>
  <c r="K31" i="147"/>
  <c r="K32" i="147"/>
  <c r="K33" i="147"/>
  <c r="K34" i="147"/>
  <c r="K35" i="147"/>
  <c r="K36" i="147"/>
  <c r="K37" i="147"/>
  <c r="K38" i="147"/>
  <c r="K39" i="147"/>
  <c r="K40" i="147"/>
  <c r="K41" i="147"/>
  <c r="K42" i="147"/>
  <c r="K43" i="147"/>
  <c r="K44" i="147"/>
  <c r="K45" i="147"/>
  <c r="K46" i="147"/>
  <c r="K47" i="147"/>
  <c r="K48" i="147"/>
  <c r="K49" i="147"/>
  <c r="K50" i="147"/>
  <c r="K51" i="147"/>
  <c r="K52" i="147"/>
  <c r="K53" i="147"/>
  <c r="K54" i="147"/>
  <c r="K55" i="147"/>
  <c r="K56" i="147"/>
  <c r="K57" i="147"/>
  <c r="K58" i="147"/>
  <c r="K59" i="147"/>
  <c r="K60" i="147"/>
  <c r="K61" i="147"/>
  <c r="K62" i="147"/>
  <c r="K63" i="147"/>
  <c r="K64" i="147"/>
  <c r="K65" i="147"/>
  <c r="K66" i="147"/>
  <c r="K2" i="147"/>
  <c r="H67" i="147"/>
  <c r="F25" i="142"/>
  <c r="H17" i="142" l="1"/>
  <c r="G13" i="142"/>
  <c r="H13" i="142" s="1"/>
  <c r="G14" i="142"/>
  <c r="H14" i="142" s="1"/>
  <c r="G15" i="142"/>
  <c r="H15" i="142" s="1"/>
  <c r="G16" i="142"/>
  <c r="H16" i="142" s="1"/>
  <c r="G17" i="142"/>
  <c r="G19" i="142"/>
  <c r="H19" i="142" s="1"/>
  <c r="G20" i="142"/>
  <c r="G21" i="142"/>
  <c r="T65" i="144"/>
  <c r="V17" i="121"/>
  <c r="W17" i="121"/>
  <c r="X17" i="121"/>
  <c r="Y17" i="121"/>
  <c r="Z17" i="121"/>
  <c r="U17" i="121"/>
  <c r="U11" i="142"/>
  <c r="U10" i="142"/>
  <c r="T18" i="142"/>
  <c r="T11" i="142" l="1"/>
  <c r="S14" i="118"/>
  <c r="AF25" i="142" l="1"/>
  <c r="AD25" i="142"/>
  <c r="AE25" i="142"/>
  <c r="U25" i="142"/>
  <c r="V25" i="142"/>
  <c r="W25" i="142"/>
  <c r="X25" i="142"/>
  <c r="Y25" i="142"/>
  <c r="Z25" i="142"/>
  <c r="AA25" i="142"/>
  <c r="AB25" i="142"/>
  <c r="AC25" i="142"/>
  <c r="J25" i="142"/>
  <c r="K25" i="142"/>
  <c r="L25" i="142"/>
  <c r="M25" i="142"/>
  <c r="N25" i="142"/>
  <c r="P25" i="142"/>
  <c r="Q25" i="142"/>
  <c r="R25" i="142"/>
  <c r="S25" i="142"/>
  <c r="T25" i="142"/>
  <c r="I25" i="142"/>
  <c r="G9" i="142"/>
  <c r="H9" i="142" s="1"/>
  <c r="G10" i="142"/>
  <c r="H10" i="142" s="1"/>
  <c r="Q21" i="93" l="1"/>
  <c r="G9" i="121"/>
  <c r="E17" i="121"/>
  <c r="O17" i="121"/>
  <c r="P17" i="121"/>
  <c r="R17" i="121"/>
  <c r="S17" i="121"/>
  <c r="T17" i="121"/>
  <c r="J17" i="121"/>
  <c r="K17" i="121"/>
  <c r="L17" i="121"/>
  <c r="M17" i="121"/>
  <c r="N17" i="121"/>
  <c r="I17" i="121"/>
  <c r="B21" i="121"/>
  <c r="T31" i="126"/>
  <c r="P21" i="93" l="1"/>
  <c r="O11" i="141" l="1"/>
  <c r="O12" i="130"/>
  <c r="Q9" i="130"/>
  <c r="F32" i="144"/>
  <c r="G32" i="144" s="1"/>
  <c r="F11" i="144"/>
  <c r="G11" i="144" s="1"/>
  <c r="F31" i="144"/>
  <c r="G31" i="144" s="1"/>
  <c r="E79" i="144" l="1"/>
  <c r="E84" i="144" s="1"/>
  <c r="E11" i="97" l="1"/>
  <c r="E21" i="97" l="1"/>
  <c r="E44" i="126" l="1"/>
  <c r="E42" i="126"/>
  <c r="E46" i="126"/>
  <c r="E45" i="126"/>
  <c r="E34" i="126"/>
  <c r="E33" i="126"/>
  <c r="E23" i="126"/>
  <c r="E13" i="126"/>
  <c r="G46" i="126" l="1"/>
  <c r="G45" i="126"/>
  <c r="G44" i="126"/>
  <c r="G43" i="126"/>
  <c r="G42" i="126"/>
  <c r="G41" i="126"/>
  <c r="G40" i="126"/>
  <c r="G39" i="126"/>
  <c r="G38" i="126"/>
  <c r="G37" i="126"/>
  <c r="G36" i="126"/>
  <c r="G35" i="126"/>
  <c r="G34" i="126"/>
  <c r="G33" i="126"/>
  <c r="G32" i="126"/>
  <c r="G31" i="126"/>
  <c r="G30" i="126"/>
  <c r="G29" i="126"/>
  <c r="G28" i="126"/>
  <c r="G27" i="126"/>
  <c r="G26" i="126"/>
  <c r="G25" i="126"/>
  <c r="G24" i="126"/>
  <c r="G23" i="126"/>
  <c r="G22" i="126"/>
  <c r="G21" i="126"/>
  <c r="G20" i="126"/>
  <c r="G19" i="126"/>
  <c r="G18" i="126"/>
  <c r="G17" i="126"/>
  <c r="G16" i="126"/>
  <c r="G15" i="126"/>
  <c r="G14" i="126"/>
  <c r="G13" i="126"/>
  <c r="G12" i="126"/>
  <c r="G11" i="126"/>
  <c r="G10" i="126"/>
  <c r="G9" i="126"/>
  <c r="S44" i="126" l="1"/>
  <c r="S45" i="126"/>
  <c r="S42" i="126"/>
  <c r="S23" i="97"/>
  <c r="Q12" i="118" l="1"/>
  <c r="Q31" i="126" l="1"/>
  <c r="M11" i="126"/>
  <c r="M46" i="126" l="1"/>
  <c r="Q14" i="121" l="1"/>
  <c r="Q17" i="121" s="1"/>
  <c r="U14" i="145" l="1"/>
  <c r="T14" i="145"/>
  <c r="S14" i="145"/>
  <c r="R14" i="145"/>
  <c r="Q14" i="145"/>
  <c r="P14" i="145"/>
  <c r="O14" i="145"/>
  <c r="N14" i="145"/>
  <c r="M14" i="145"/>
  <c r="L14" i="145"/>
  <c r="G14" i="145"/>
  <c r="C14" i="145"/>
  <c r="K14" i="145"/>
  <c r="J14" i="145"/>
  <c r="E12" i="145"/>
  <c r="F12" i="145" s="1"/>
  <c r="D12" i="145"/>
  <c r="E11" i="145"/>
  <c r="F11" i="145" s="1"/>
  <c r="D11" i="145"/>
  <c r="E10" i="145"/>
  <c r="F10" i="145" s="1"/>
  <c r="D10" i="145"/>
  <c r="E9" i="145"/>
  <c r="D9" i="145"/>
  <c r="Q2" i="145"/>
  <c r="K2" i="145"/>
  <c r="Q1" i="145"/>
  <c r="K1" i="145"/>
  <c r="G1" i="145"/>
  <c r="R46" i="126"/>
  <c r="R45" i="126"/>
  <c r="R44" i="126"/>
  <c r="R43" i="126"/>
  <c r="R42" i="126"/>
  <c r="R33" i="126"/>
  <c r="R19" i="97"/>
  <c r="R30" i="97"/>
  <c r="R22" i="97"/>
  <c r="R23" i="97"/>
  <c r="R21" i="97"/>
  <c r="D14" i="145" l="1"/>
  <c r="I14" i="145"/>
  <c r="E14" i="145"/>
  <c r="F9" i="145"/>
  <c r="F14" i="145" s="1"/>
  <c r="H14" i="145"/>
  <c r="M13" i="116" l="1"/>
  <c r="O18" i="142"/>
  <c r="O25" i="142" l="1"/>
  <c r="G18" i="142"/>
  <c r="H18" i="142" s="1"/>
  <c r="F48" i="126"/>
  <c r="M18" i="93" l="1"/>
  <c r="M14" i="93"/>
  <c r="Q33" i="126"/>
  <c r="Q20" i="97" l="1"/>
  <c r="Q18" i="97"/>
  <c r="O14" i="118" l="1"/>
  <c r="O12" i="118"/>
  <c r="L21" i="131" l="1"/>
  <c r="K21" i="131"/>
  <c r="L9" i="131"/>
  <c r="N15" i="131"/>
  <c r="L15" i="131"/>
  <c r="L20" i="131"/>
  <c r="L10" i="131"/>
  <c r="M12" i="131"/>
  <c r="L11" i="131"/>
  <c r="L18" i="131"/>
  <c r="L12" i="131"/>
  <c r="C25" i="131"/>
  <c r="D9" i="141"/>
  <c r="E9" i="141" s="1"/>
  <c r="Z79" i="144"/>
  <c r="Y79" i="144"/>
  <c r="X79" i="144"/>
  <c r="W79" i="144"/>
  <c r="V79" i="144"/>
  <c r="U79" i="144"/>
  <c r="T79" i="144"/>
  <c r="S79" i="144"/>
  <c r="R79" i="144"/>
  <c r="Q79" i="144"/>
  <c r="P79" i="144"/>
  <c r="O79" i="144"/>
  <c r="N79" i="144"/>
  <c r="M79" i="144"/>
  <c r="L79" i="144"/>
  <c r="K79" i="144"/>
  <c r="J79" i="144"/>
  <c r="I79" i="144"/>
  <c r="H79" i="144"/>
  <c r="F65" i="144"/>
  <c r="G65" i="144" s="1"/>
  <c r="F64" i="144"/>
  <c r="G64" i="144" s="1"/>
  <c r="F63" i="144"/>
  <c r="G63" i="144" s="1"/>
  <c r="F62" i="144"/>
  <c r="G62" i="144" s="1"/>
  <c r="F61" i="144"/>
  <c r="G61" i="144" s="1"/>
  <c r="F60" i="144"/>
  <c r="G60" i="144" s="1"/>
  <c r="F59" i="144"/>
  <c r="G59" i="144" s="1"/>
  <c r="F58" i="144"/>
  <c r="G58" i="144" s="1"/>
  <c r="F57" i="144"/>
  <c r="G57" i="144" s="1"/>
  <c r="F56" i="144"/>
  <c r="G56" i="144" s="1"/>
  <c r="F55" i="144"/>
  <c r="G55" i="144" s="1"/>
  <c r="F54" i="144"/>
  <c r="G54" i="144" s="1"/>
  <c r="F53" i="144"/>
  <c r="G53" i="144" s="1"/>
  <c r="F52" i="144"/>
  <c r="G52" i="144" s="1"/>
  <c r="F51" i="144"/>
  <c r="G51" i="144" s="1"/>
  <c r="F50" i="144"/>
  <c r="G50" i="144" s="1"/>
  <c r="F49" i="144"/>
  <c r="G49" i="144" s="1"/>
  <c r="F48" i="144"/>
  <c r="G48" i="144" s="1"/>
  <c r="F47" i="144"/>
  <c r="G47" i="144" s="1"/>
  <c r="F46" i="144"/>
  <c r="G46" i="144" s="1"/>
  <c r="F45" i="144"/>
  <c r="G45" i="144" s="1"/>
  <c r="F44" i="144"/>
  <c r="G44" i="144" s="1"/>
  <c r="F43" i="144"/>
  <c r="G43" i="144" s="1"/>
  <c r="F42" i="144"/>
  <c r="G42" i="144" s="1"/>
  <c r="F41" i="144"/>
  <c r="G41" i="144" s="1"/>
  <c r="F40" i="144"/>
  <c r="G40" i="144" s="1"/>
  <c r="F39" i="144"/>
  <c r="G39" i="144" s="1"/>
  <c r="F38" i="144"/>
  <c r="G38" i="144" s="1"/>
  <c r="F37" i="144"/>
  <c r="G37" i="144" s="1"/>
  <c r="F36" i="144"/>
  <c r="G36" i="144" s="1"/>
  <c r="F35" i="144"/>
  <c r="G35" i="144" s="1"/>
  <c r="F34" i="144"/>
  <c r="G34" i="144" s="1"/>
  <c r="F33" i="144"/>
  <c r="G33" i="144" s="1"/>
  <c r="F30" i="144"/>
  <c r="G30" i="144" s="1"/>
  <c r="F29" i="144"/>
  <c r="G29" i="144" s="1"/>
  <c r="F28" i="144"/>
  <c r="G28" i="144" s="1"/>
  <c r="F27" i="144"/>
  <c r="G27" i="144" s="1"/>
  <c r="F26" i="144"/>
  <c r="G26" i="144" s="1"/>
  <c r="F25" i="144"/>
  <c r="G25" i="144" s="1"/>
  <c r="F24" i="144"/>
  <c r="G24" i="144" s="1"/>
  <c r="F23" i="144"/>
  <c r="G23" i="144" s="1"/>
  <c r="F22" i="144"/>
  <c r="G22" i="144" s="1"/>
  <c r="F21" i="144"/>
  <c r="G21" i="144" s="1"/>
  <c r="F20" i="144"/>
  <c r="G20" i="144" s="1"/>
  <c r="F19" i="144"/>
  <c r="G19" i="144" s="1"/>
  <c r="F18" i="144"/>
  <c r="G18" i="144" s="1"/>
  <c r="F17" i="144"/>
  <c r="G17" i="144" s="1"/>
  <c r="F16" i="144"/>
  <c r="G16" i="144" s="1"/>
  <c r="F15" i="144"/>
  <c r="G15" i="144" s="1"/>
  <c r="F14" i="144"/>
  <c r="G14" i="144" s="1"/>
  <c r="F13" i="144"/>
  <c r="G13" i="144" s="1"/>
  <c r="F12" i="144"/>
  <c r="G12" i="144" s="1"/>
  <c r="F10" i="144"/>
  <c r="G10" i="144" s="1"/>
  <c r="F9" i="144"/>
  <c r="G9" i="144" s="1"/>
  <c r="F66" i="144"/>
  <c r="F67" i="144"/>
  <c r="G67" i="144" s="1"/>
  <c r="F68" i="144"/>
  <c r="G68" i="144" s="1"/>
  <c r="F69" i="144"/>
  <c r="G69" i="144" s="1"/>
  <c r="F70" i="144"/>
  <c r="G70" i="144" s="1"/>
  <c r="F71" i="144"/>
  <c r="G71" i="144" s="1"/>
  <c r="F72" i="144"/>
  <c r="G72" i="144" s="1"/>
  <c r="Y2" i="144"/>
  <c r="R2" i="144"/>
  <c r="L2" i="144"/>
  <c r="Y1" i="144"/>
  <c r="R1" i="144"/>
  <c r="L1" i="144"/>
  <c r="H21" i="142"/>
  <c r="N19" i="130"/>
  <c r="P48" i="126"/>
  <c r="P45" i="126"/>
  <c r="P44" i="126"/>
  <c r="P19" i="126"/>
  <c r="P23" i="97"/>
  <c r="P21" i="97"/>
  <c r="K9" i="141"/>
  <c r="O45" i="126"/>
  <c r="O44" i="126"/>
  <c r="O23" i="97"/>
  <c r="N12" i="130"/>
  <c r="E8" i="138"/>
  <c r="D8" i="138"/>
  <c r="J20" i="93"/>
  <c r="J22" i="93"/>
  <c r="J14" i="93"/>
  <c r="N33" i="126"/>
  <c r="N24" i="126"/>
  <c r="N59" i="126"/>
  <c r="J9" i="141"/>
  <c r="L48" i="126"/>
  <c r="L46" i="126"/>
  <c r="L42" i="126"/>
  <c r="K34" i="126"/>
  <c r="N20" i="97"/>
  <c r="AB48" i="126"/>
  <c r="AA48" i="126"/>
  <c r="Z48" i="126"/>
  <c r="Y48" i="126"/>
  <c r="X48" i="126"/>
  <c r="W48" i="126"/>
  <c r="V48" i="126"/>
  <c r="U48" i="126"/>
  <c r="T48" i="126"/>
  <c r="S48" i="126"/>
  <c r="R48" i="126"/>
  <c r="Q48" i="126"/>
  <c r="O48" i="126"/>
  <c r="N48" i="126"/>
  <c r="M20" i="126"/>
  <c r="M48" i="126"/>
  <c r="M59" i="126" s="1"/>
  <c r="M16" i="97"/>
  <c r="AA2" i="118"/>
  <c r="H21" i="93"/>
  <c r="L21" i="97"/>
  <c r="D21" i="93"/>
  <c r="E21" i="93" s="1"/>
  <c r="E9" i="128"/>
  <c r="T2" i="143"/>
  <c r="N2" i="143"/>
  <c r="D15" i="116"/>
  <c r="C15" i="116"/>
  <c r="C17" i="116" s="1"/>
  <c r="E14" i="116"/>
  <c r="G14" i="116" s="1"/>
  <c r="E13" i="116"/>
  <c r="E12" i="116"/>
  <c r="E11" i="116"/>
  <c r="E10" i="116"/>
  <c r="E9" i="116"/>
  <c r="G9" i="116" s="1"/>
  <c r="G9" i="97"/>
  <c r="G14" i="97"/>
  <c r="G11" i="116"/>
  <c r="Q15" i="116"/>
  <c r="G10" i="116"/>
  <c r="N15" i="116"/>
  <c r="L15" i="116"/>
  <c r="M15" i="116"/>
  <c r="O15" i="116"/>
  <c r="P15" i="116"/>
  <c r="R15" i="116"/>
  <c r="K15" i="116"/>
  <c r="G12" i="116"/>
  <c r="S15" i="116"/>
  <c r="N20" i="143"/>
  <c r="O20" i="143"/>
  <c r="P20" i="143"/>
  <c r="Q20" i="143"/>
  <c r="R20" i="143"/>
  <c r="S20" i="143"/>
  <c r="T20" i="143"/>
  <c r="U20" i="143"/>
  <c r="V20" i="143"/>
  <c r="W20" i="143"/>
  <c r="M20" i="143"/>
  <c r="D9" i="143"/>
  <c r="E9" i="143"/>
  <c r="D10" i="143"/>
  <c r="E10" i="143"/>
  <c r="D11" i="143"/>
  <c r="E11" i="143"/>
  <c r="D12" i="143"/>
  <c r="E12" i="143"/>
  <c r="D13" i="143"/>
  <c r="E13" i="143"/>
  <c r="D14" i="143"/>
  <c r="E14" i="143"/>
  <c r="D15" i="143"/>
  <c r="E15" i="143"/>
  <c r="D16" i="143"/>
  <c r="E16" i="143"/>
  <c r="D17" i="143"/>
  <c r="E17" i="143"/>
  <c r="D18" i="143"/>
  <c r="E18" i="143"/>
  <c r="D19" i="143"/>
  <c r="E19" i="143"/>
  <c r="D8" i="143"/>
  <c r="Z20" i="143"/>
  <c r="Y20" i="143"/>
  <c r="X20" i="143"/>
  <c r="L20" i="143"/>
  <c r="K20" i="143"/>
  <c r="J20" i="143"/>
  <c r="I20" i="143"/>
  <c r="H20" i="143"/>
  <c r="G20" i="143"/>
  <c r="F20" i="143"/>
  <c r="R1" i="143"/>
  <c r="L1" i="143"/>
  <c r="D20" i="143"/>
  <c r="E8" i="143"/>
  <c r="E20" i="143"/>
  <c r="AH25" i="142"/>
  <c r="AG25" i="142"/>
  <c r="E25" i="142"/>
  <c r="H20" i="142"/>
  <c r="G12" i="142"/>
  <c r="H12" i="142" s="1"/>
  <c r="G11" i="142"/>
  <c r="H11" i="142" s="1"/>
  <c r="Z2" i="142"/>
  <c r="S2" i="142"/>
  <c r="M2" i="142"/>
  <c r="Z1" i="142"/>
  <c r="S1" i="142"/>
  <c r="M1" i="142"/>
  <c r="G23" i="97"/>
  <c r="G22" i="97"/>
  <c r="G21" i="97"/>
  <c r="G20" i="97"/>
  <c r="G19" i="97"/>
  <c r="G18" i="97"/>
  <c r="G17" i="97"/>
  <c r="G16" i="97"/>
  <c r="G15" i="97"/>
  <c r="G13" i="97"/>
  <c r="G12" i="97"/>
  <c r="G11" i="97"/>
  <c r="G10" i="97"/>
  <c r="H35" i="126"/>
  <c r="I35" i="126" s="1"/>
  <c r="K48" i="126"/>
  <c r="J48" i="126"/>
  <c r="E48" i="126"/>
  <c r="H39" i="126"/>
  <c r="I39" i="126" s="1"/>
  <c r="H34" i="126"/>
  <c r="I34" i="126" s="1"/>
  <c r="U16" i="130"/>
  <c r="H46" i="113"/>
  <c r="I46" i="113"/>
  <c r="J46" i="113"/>
  <c r="K46" i="113"/>
  <c r="L46" i="113"/>
  <c r="M46" i="113"/>
  <c r="N46" i="113"/>
  <c r="O46" i="113"/>
  <c r="P46" i="113"/>
  <c r="Q46" i="113"/>
  <c r="R46" i="113"/>
  <c r="S46" i="113"/>
  <c r="T46" i="113"/>
  <c r="U46" i="113"/>
  <c r="W16" i="141"/>
  <c r="V16" i="141"/>
  <c r="U16" i="141"/>
  <c r="T16" i="141"/>
  <c r="S16" i="141"/>
  <c r="R16" i="141"/>
  <c r="Q16" i="141"/>
  <c r="P16" i="141"/>
  <c r="O16" i="141"/>
  <c r="N16" i="141"/>
  <c r="M16" i="141"/>
  <c r="L16" i="141"/>
  <c r="K16" i="141"/>
  <c r="J16" i="141"/>
  <c r="I16" i="141"/>
  <c r="H16" i="141"/>
  <c r="G16" i="141"/>
  <c r="F16" i="141"/>
  <c r="C16" i="141"/>
  <c r="D14" i="141"/>
  <c r="E14" i="141" s="1"/>
  <c r="D13" i="141"/>
  <c r="E13" i="141"/>
  <c r="D12" i="141"/>
  <c r="E12" i="141"/>
  <c r="D11" i="141"/>
  <c r="E11" i="141" s="1"/>
  <c r="D10" i="141"/>
  <c r="E10" i="141" s="1"/>
  <c r="P1" i="141"/>
  <c r="J1" i="141"/>
  <c r="S55" i="126"/>
  <c r="Q25" i="131"/>
  <c r="H29" i="126"/>
  <c r="I29" i="126" s="1"/>
  <c r="H9" i="126"/>
  <c r="I9" i="126" s="1"/>
  <c r="S29" i="97"/>
  <c r="V24" i="93"/>
  <c r="U24" i="93"/>
  <c r="T24" i="93"/>
  <c r="S24" i="93"/>
  <c r="R24" i="93"/>
  <c r="Q24" i="93"/>
  <c r="P24" i="93"/>
  <c r="D15" i="93"/>
  <c r="E15" i="93" s="1"/>
  <c r="N24" i="93"/>
  <c r="G15" i="121"/>
  <c r="O25" i="131"/>
  <c r="C12" i="138"/>
  <c r="D10" i="138"/>
  <c r="E10" i="138"/>
  <c r="D11" i="138"/>
  <c r="E11" i="138"/>
  <c r="D9" i="138"/>
  <c r="E9" i="138"/>
  <c r="H45" i="126"/>
  <c r="I45" i="126" s="1"/>
  <c r="H44" i="126"/>
  <c r="I44" i="126" s="1"/>
  <c r="P24" i="97"/>
  <c r="R18" i="140"/>
  <c r="Q18" i="140"/>
  <c r="P18" i="140"/>
  <c r="O18" i="140"/>
  <c r="N18" i="140"/>
  <c r="M18" i="140"/>
  <c r="K18" i="140"/>
  <c r="K33" i="139"/>
  <c r="L31" i="139"/>
  <c r="L30" i="139"/>
  <c r="L29" i="139"/>
  <c r="L28" i="139"/>
  <c r="L27" i="139"/>
  <c r="L26" i="139"/>
  <c r="L25" i="139"/>
  <c r="L24" i="139"/>
  <c r="L23" i="139"/>
  <c r="L22" i="139"/>
  <c r="L21" i="139"/>
  <c r="L20" i="139"/>
  <c r="L19" i="139"/>
  <c r="L18" i="139"/>
  <c r="L17" i="139"/>
  <c r="L16" i="139"/>
  <c r="L15" i="139"/>
  <c r="L14" i="139"/>
  <c r="L13" i="139"/>
  <c r="L12" i="139"/>
  <c r="L11" i="139"/>
  <c r="L10" i="139"/>
  <c r="L9" i="139"/>
  <c r="J31" i="139"/>
  <c r="J30" i="139"/>
  <c r="J29" i="139"/>
  <c r="J28" i="139"/>
  <c r="J27" i="139"/>
  <c r="J26" i="139"/>
  <c r="J25" i="139"/>
  <c r="J24" i="139"/>
  <c r="J23" i="139"/>
  <c r="J22" i="139"/>
  <c r="J21" i="139"/>
  <c r="J20" i="139"/>
  <c r="J19" i="139"/>
  <c r="J18" i="139"/>
  <c r="J17" i="139"/>
  <c r="J16" i="139"/>
  <c r="J15" i="139"/>
  <c r="J14" i="139"/>
  <c r="J13" i="139"/>
  <c r="J12" i="139"/>
  <c r="J11" i="139"/>
  <c r="J10" i="139"/>
  <c r="J9" i="139"/>
  <c r="F17" i="140"/>
  <c r="F16" i="140"/>
  <c r="F15" i="140"/>
  <c r="L17" i="140"/>
  <c r="L16" i="140"/>
  <c r="L15" i="140"/>
  <c r="L14" i="140"/>
  <c r="L13" i="140"/>
  <c r="L12" i="140"/>
  <c r="L11" i="140"/>
  <c r="L10" i="140"/>
  <c r="L9" i="140"/>
  <c r="J17" i="140"/>
  <c r="J16" i="140"/>
  <c r="J15" i="140"/>
  <c r="J14" i="140"/>
  <c r="J13" i="140"/>
  <c r="J12" i="140"/>
  <c r="J11" i="140"/>
  <c r="J10" i="140"/>
  <c r="J9" i="140"/>
  <c r="F9" i="140"/>
  <c r="E12" i="140"/>
  <c r="E18" i="140"/>
  <c r="E24" i="139"/>
  <c r="H29" i="139"/>
  <c r="H26" i="139"/>
  <c r="H27" i="139"/>
  <c r="H28" i="139"/>
  <c r="H30" i="139"/>
  <c r="H31" i="139"/>
  <c r="F23" i="139"/>
  <c r="F24" i="139"/>
  <c r="F25" i="139"/>
  <c r="F26" i="139"/>
  <c r="F27" i="139"/>
  <c r="F28" i="139"/>
  <c r="F30" i="139"/>
  <c r="F31" i="139"/>
  <c r="H23" i="139"/>
  <c r="H9" i="139"/>
  <c r="H11" i="139"/>
  <c r="H10" i="139"/>
  <c r="H12" i="139"/>
  <c r="H13" i="139"/>
  <c r="H14" i="139"/>
  <c r="H15" i="139"/>
  <c r="H16" i="139"/>
  <c r="H17" i="139"/>
  <c r="H18" i="139"/>
  <c r="H19" i="139"/>
  <c r="H20" i="139"/>
  <c r="H21" i="139"/>
  <c r="H22" i="139"/>
  <c r="H24" i="139"/>
  <c r="H25" i="139"/>
  <c r="F10" i="140"/>
  <c r="F11" i="140"/>
  <c r="F13" i="140"/>
  <c r="F14" i="140"/>
  <c r="AA33" i="139"/>
  <c r="Z33" i="139"/>
  <c r="Y33" i="139"/>
  <c r="X33" i="139"/>
  <c r="W33" i="139"/>
  <c r="V33" i="139"/>
  <c r="U33" i="139"/>
  <c r="T33" i="139"/>
  <c r="S33" i="139"/>
  <c r="R33" i="139"/>
  <c r="Q33" i="139"/>
  <c r="P33" i="139"/>
  <c r="O33" i="139"/>
  <c r="N33" i="139"/>
  <c r="M33" i="139"/>
  <c r="I33" i="139"/>
  <c r="G33" i="139"/>
  <c r="F13" i="139"/>
  <c r="F14" i="139"/>
  <c r="F15" i="139"/>
  <c r="F16" i="139"/>
  <c r="F17" i="139"/>
  <c r="F18" i="139"/>
  <c r="F19" i="139"/>
  <c r="F20" i="139"/>
  <c r="F21" i="139"/>
  <c r="F22" i="139"/>
  <c r="F10" i="139"/>
  <c r="F11" i="139"/>
  <c r="F12" i="139"/>
  <c r="M16" i="130"/>
  <c r="K24" i="93"/>
  <c r="F9" i="139"/>
  <c r="AV18" i="140"/>
  <c r="AU18" i="140"/>
  <c r="AT18" i="140"/>
  <c r="AS18" i="140"/>
  <c r="AR18" i="140"/>
  <c r="AQ18" i="140"/>
  <c r="AP18" i="140"/>
  <c r="AO18" i="140"/>
  <c r="AN18" i="140"/>
  <c r="AM18" i="140"/>
  <c r="AL18" i="140"/>
  <c r="AK18" i="140"/>
  <c r="AJ18" i="140"/>
  <c r="AI18" i="140"/>
  <c r="AH18" i="140"/>
  <c r="AG18" i="140"/>
  <c r="AF18" i="140"/>
  <c r="AE18" i="140"/>
  <c r="AA18" i="140"/>
  <c r="W18" i="140"/>
  <c r="S18" i="140"/>
  <c r="I18" i="140"/>
  <c r="D18" i="140"/>
  <c r="C18" i="140"/>
  <c r="AT2" i="140"/>
  <c r="AM2" i="140"/>
  <c r="AF2" i="140"/>
  <c r="I2" i="140"/>
  <c r="AT1" i="140"/>
  <c r="AM1" i="140"/>
  <c r="AF1" i="140"/>
  <c r="I1" i="140"/>
  <c r="E33" i="139"/>
  <c r="C33" i="139"/>
  <c r="W2" i="139"/>
  <c r="I2" i="139"/>
  <c r="W1" i="139"/>
  <c r="I1" i="139"/>
  <c r="E21" i="131"/>
  <c r="E20" i="131"/>
  <c r="E19" i="131"/>
  <c r="E18" i="131"/>
  <c r="E17" i="131"/>
  <c r="E16" i="131"/>
  <c r="E15" i="131"/>
  <c r="E14" i="131"/>
  <c r="E13" i="131"/>
  <c r="E12" i="131"/>
  <c r="E11" i="131"/>
  <c r="E10" i="131"/>
  <c r="E9" i="131"/>
  <c r="H19" i="97"/>
  <c r="I19" i="97" s="1"/>
  <c r="H18" i="97"/>
  <c r="I18" i="97" s="1"/>
  <c r="J24" i="97"/>
  <c r="F24" i="97"/>
  <c r="E24" i="97"/>
  <c r="L16" i="130"/>
  <c r="D22" i="93"/>
  <c r="E22" i="93" s="1"/>
  <c r="K12" i="138"/>
  <c r="J12" i="138"/>
  <c r="I12" i="138"/>
  <c r="H12" i="138"/>
  <c r="G12" i="138"/>
  <c r="F12" i="138"/>
  <c r="W12" i="138"/>
  <c r="V12" i="138"/>
  <c r="U12" i="138"/>
  <c r="T12" i="138"/>
  <c r="S12" i="138"/>
  <c r="R12" i="138"/>
  <c r="Q12" i="138"/>
  <c r="P12" i="138"/>
  <c r="O12" i="138"/>
  <c r="N12" i="138"/>
  <c r="M12" i="138"/>
  <c r="L12" i="138"/>
  <c r="F1" i="138"/>
  <c r="H21" i="97"/>
  <c r="AT24" i="97"/>
  <c r="AS24" i="97"/>
  <c r="AR24" i="97"/>
  <c r="AQ24" i="97"/>
  <c r="AP24" i="97"/>
  <c r="AO24" i="97"/>
  <c r="AN24" i="97"/>
  <c r="AM24" i="97"/>
  <c r="AL24" i="97"/>
  <c r="AK24" i="97"/>
  <c r="AJ24" i="97"/>
  <c r="AI24" i="97"/>
  <c r="AH24" i="97"/>
  <c r="AG24" i="97"/>
  <c r="AF24" i="97"/>
  <c r="AE24" i="97"/>
  <c r="AD24" i="97"/>
  <c r="AC24" i="97"/>
  <c r="AB24" i="97"/>
  <c r="AA24" i="97"/>
  <c r="Z24" i="97"/>
  <c r="Y24" i="97"/>
  <c r="X24" i="97"/>
  <c r="W24" i="97"/>
  <c r="V24" i="97"/>
  <c r="U24" i="97"/>
  <c r="T24" i="97"/>
  <c r="Q24" i="97"/>
  <c r="M24" i="97"/>
  <c r="K24" i="97"/>
  <c r="H38" i="126"/>
  <c r="E14" i="118"/>
  <c r="E13" i="118"/>
  <c r="E12" i="118"/>
  <c r="E11" i="118"/>
  <c r="E10" i="118"/>
  <c r="X16" i="130"/>
  <c r="W16" i="130"/>
  <c r="V16" i="130"/>
  <c r="T16" i="130"/>
  <c r="S16" i="130"/>
  <c r="R16" i="130"/>
  <c r="Q16" i="130"/>
  <c r="P16" i="130"/>
  <c r="O16" i="130"/>
  <c r="N16" i="130"/>
  <c r="K16" i="130"/>
  <c r="J16" i="130"/>
  <c r="I16" i="130"/>
  <c r="H16" i="130"/>
  <c r="D16" i="130"/>
  <c r="C16" i="130"/>
  <c r="G12" i="121"/>
  <c r="G40" i="113"/>
  <c r="G41" i="113"/>
  <c r="Q16" i="118"/>
  <c r="G14" i="113"/>
  <c r="D46" i="113"/>
  <c r="C46" i="113"/>
  <c r="G10" i="121"/>
  <c r="H10" i="121" s="1"/>
  <c r="G13" i="121"/>
  <c r="H13" i="121" s="1"/>
  <c r="E46" i="113"/>
  <c r="AJ11" i="137"/>
  <c r="AI11" i="137"/>
  <c r="AH11" i="137"/>
  <c r="AG11" i="137"/>
  <c r="AF11" i="137"/>
  <c r="AE11" i="137"/>
  <c r="AD11" i="137"/>
  <c r="AC11" i="137"/>
  <c r="AB11" i="137"/>
  <c r="AA11" i="137"/>
  <c r="Z11" i="137"/>
  <c r="Y11" i="137"/>
  <c r="X11" i="137"/>
  <c r="W11" i="137"/>
  <c r="V11" i="137"/>
  <c r="U11" i="137"/>
  <c r="T11" i="137"/>
  <c r="S11" i="137"/>
  <c r="R11" i="137"/>
  <c r="Q11" i="137"/>
  <c r="P11" i="137"/>
  <c r="O11" i="137"/>
  <c r="N11" i="137"/>
  <c r="M11" i="137"/>
  <c r="L11" i="137"/>
  <c r="K11" i="137"/>
  <c r="J11" i="137"/>
  <c r="I11" i="137"/>
  <c r="H11" i="137"/>
  <c r="C11" i="137"/>
  <c r="E11" i="137"/>
  <c r="F9" i="137"/>
  <c r="G9" i="137"/>
  <c r="G11" i="137"/>
  <c r="E9" i="137"/>
  <c r="AA2" i="137"/>
  <c r="T2" i="137"/>
  <c r="N2" i="137"/>
  <c r="AA1" i="137"/>
  <c r="T1" i="137"/>
  <c r="N1" i="137"/>
  <c r="AD15" i="136"/>
  <c r="AC15" i="136"/>
  <c r="AB15" i="136"/>
  <c r="AA15" i="136"/>
  <c r="Z15" i="136"/>
  <c r="Y15" i="136"/>
  <c r="X15" i="136"/>
  <c r="W15" i="136"/>
  <c r="V15" i="136"/>
  <c r="U15" i="136"/>
  <c r="T15" i="136"/>
  <c r="S15" i="136"/>
  <c r="R15" i="136"/>
  <c r="Q15" i="136"/>
  <c r="P15" i="136"/>
  <c r="O15" i="136"/>
  <c r="N15" i="136"/>
  <c r="M15" i="136"/>
  <c r="L15" i="136"/>
  <c r="K15" i="136"/>
  <c r="J15" i="136"/>
  <c r="I15" i="136"/>
  <c r="H15" i="136"/>
  <c r="C15" i="136"/>
  <c r="E15" i="136"/>
  <c r="F13" i="136"/>
  <c r="G13" i="136"/>
  <c r="E13" i="136"/>
  <c r="F12" i="136"/>
  <c r="G12" i="136"/>
  <c r="E12" i="136"/>
  <c r="F11" i="136"/>
  <c r="G11" i="136"/>
  <c r="E11" i="136"/>
  <c r="F10" i="136"/>
  <c r="G10" i="136"/>
  <c r="E10" i="136"/>
  <c r="F9" i="136"/>
  <c r="G9" i="136"/>
  <c r="E9" i="136"/>
  <c r="T2" i="136"/>
  <c r="N2" i="136"/>
  <c r="T1" i="136"/>
  <c r="N1" i="136"/>
  <c r="AB13" i="133"/>
  <c r="AA13" i="133"/>
  <c r="Z13" i="133"/>
  <c r="Y13" i="133"/>
  <c r="X13" i="133"/>
  <c r="W13" i="133"/>
  <c r="V13" i="133"/>
  <c r="U13" i="133"/>
  <c r="T13" i="133"/>
  <c r="S13" i="133"/>
  <c r="R13" i="133"/>
  <c r="Q13" i="133"/>
  <c r="P13" i="133"/>
  <c r="O13" i="133"/>
  <c r="N13" i="133"/>
  <c r="M13" i="133"/>
  <c r="L13" i="133"/>
  <c r="K13" i="133"/>
  <c r="J13" i="133"/>
  <c r="I13" i="133"/>
  <c r="H13" i="133"/>
  <c r="G13" i="133"/>
  <c r="F13" i="133"/>
  <c r="C13" i="133"/>
  <c r="D11" i="133"/>
  <c r="E11" i="133"/>
  <c r="D10" i="133"/>
  <c r="E10" i="133"/>
  <c r="D9" i="133"/>
  <c r="E9" i="133"/>
  <c r="R2" i="133"/>
  <c r="L2" i="133"/>
  <c r="R1" i="133"/>
  <c r="L1" i="133"/>
  <c r="AB18" i="132"/>
  <c r="AA18" i="132"/>
  <c r="Z18" i="132"/>
  <c r="Y18" i="132"/>
  <c r="X18" i="132"/>
  <c r="W18" i="132"/>
  <c r="V18" i="132"/>
  <c r="U18" i="132"/>
  <c r="T18" i="132"/>
  <c r="S18" i="132"/>
  <c r="R18" i="132"/>
  <c r="Q18" i="132"/>
  <c r="P18" i="132"/>
  <c r="O18" i="132"/>
  <c r="N18" i="132"/>
  <c r="M18" i="132"/>
  <c r="L18" i="132"/>
  <c r="K18" i="132"/>
  <c r="J18" i="132"/>
  <c r="I18" i="132"/>
  <c r="H18" i="132"/>
  <c r="E18" i="132"/>
  <c r="F16" i="132"/>
  <c r="G16" i="132"/>
  <c r="F15" i="132"/>
  <c r="G15" i="132"/>
  <c r="F14" i="132"/>
  <c r="G14" i="132"/>
  <c r="F13" i="132"/>
  <c r="G13" i="132"/>
  <c r="F12" i="132"/>
  <c r="G12" i="132"/>
  <c r="F11" i="132"/>
  <c r="G11" i="132"/>
  <c r="F10" i="132"/>
  <c r="G10" i="132"/>
  <c r="F9" i="132"/>
  <c r="G9" i="132"/>
  <c r="W2" i="132"/>
  <c r="P2" i="132"/>
  <c r="J2" i="132"/>
  <c r="W1" i="132"/>
  <c r="P1" i="132"/>
  <c r="J1" i="132"/>
  <c r="F12" i="118"/>
  <c r="G12" i="118" s="1"/>
  <c r="X25" i="131"/>
  <c r="W25" i="131"/>
  <c r="V25" i="131"/>
  <c r="U25" i="131"/>
  <c r="T25" i="131"/>
  <c r="S25" i="131"/>
  <c r="R25" i="131"/>
  <c r="P25" i="131"/>
  <c r="N25" i="131"/>
  <c r="M25" i="131"/>
  <c r="K25" i="131"/>
  <c r="J25" i="131"/>
  <c r="I25" i="131"/>
  <c r="H25" i="131"/>
  <c r="F23" i="131"/>
  <c r="G23" i="131" s="1"/>
  <c r="F21" i="131"/>
  <c r="G21" i="131" s="1"/>
  <c r="F20" i="131"/>
  <c r="G20" i="131" s="1"/>
  <c r="F19" i="131"/>
  <c r="G19" i="131" s="1"/>
  <c r="F18" i="131"/>
  <c r="G18" i="131" s="1"/>
  <c r="F17" i="131"/>
  <c r="G17" i="131" s="1"/>
  <c r="F16" i="131"/>
  <c r="G16" i="131" s="1"/>
  <c r="F15" i="131"/>
  <c r="G15" i="131" s="1"/>
  <c r="F14" i="131"/>
  <c r="G14" i="131" s="1"/>
  <c r="F13" i="131"/>
  <c r="G13" i="131" s="1"/>
  <c r="F12" i="131"/>
  <c r="G12" i="131" s="1"/>
  <c r="F11" i="131"/>
  <c r="G11" i="131" s="1"/>
  <c r="F10" i="131"/>
  <c r="G10" i="131" s="1"/>
  <c r="F9" i="131"/>
  <c r="G9" i="131" s="1"/>
  <c r="T2" i="131"/>
  <c r="N2" i="131"/>
  <c r="J2" i="131"/>
  <c r="T1" i="131"/>
  <c r="N1" i="131"/>
  <c r="J1" i="131"/>
  <c r="L25" i="131"/>
  <c r="Y16" i="130"/>
  <c r="F14" i="130"/>
  <c r="G14" i="130" s="1"/>
  <c r="E14" i="130"/>
  <c r="E13" i="130"/>
  <c r="E12" i="130"/>
  <c r="F11" i="130"/>
  <c r="E11" i="130"/>
  <c r="F10" i="130"/>
  <c r="E10" i="130"/>
  <c r="E9" i="130"/>
  <c r="T2" i="130"/>
  <c r="N2" i="130"/>
  <c r="T1" i="130"/>
  <c r="N1" i="130"/>
  <c r="F12" i="130"/>
  <c r="F13" i="130"/>
  <c r="AA17" i="121"/>
  <c r="G14" i="121"/>
  <c r="H14" i="121" s="1"/>
  <c r="G11" i="121"/>
  <c r="Z11" i="128"/>
  <c r="Y11" i="128"/>
  <c r="X11" i="128"/>
  <c r="W11" i="128"/>
  <c r="V11" i="128"/>
  <c r="U11" i="128"/>
  <c r="T11" i="128"/>
  <c r="S11" i="128"/>
  <c r="R11" i="128"/>
  <c r="Q11" i="128"/>
  <c r="P11" i="128"/>
  <c r="O11" i="128"/>
  <c r="N11" i="128"/>
  <c r="M11" i="128"/>
  <c r="K11" i="128"/>
  <c r="I11" i="128"/>
  <c r="H11" i="128"/>
  <c r="C11" i="128"/>
  <c r="E11" i="128"/>
  <c r="L11" i="128"/>
  <c r="J11" i="128"/>
  <c r="F9" i="128"/>
  <c r="F11" i="128" s="1"/>
  <c r="T2" i="128"/>
  <c r="N2" i="128"/>
  <c r="T1" i="128"/>
  <c r="N1" i="128"/>
  <c r="G11" i="113"/>
  <c r="G12" i="113"/>
  <c r="G13" i="113"/>
  <c r="G25" i="113"/>
  <c r="G15" i="113"/>
  <c r="G16" i="113"/>
  <c r="G17" i="113"/>
  <c r="G18" i="113"/>
  <c r="G19" i="113"/>
  <c r="G20" i="113"/>
  <c r="G21" i="113"/>
  <c r="G22" i="113"/>
  <c r="G23" i="113"/>
  <c r="G24" i="113"/>
  <c r="G26" i="113"/>
  <c r="G27" i="113"/>
  <c r="G29" i="113"/>
  <c r="G30" i="113"/>
  <c r="G31" i="113"/>
  <c r="G32" i="113"/>
  <c r="G35" i="113"/>
  <c r="G36" i="113"/>
  <c r="G37" i="113"/>
  <c r="G38" i="113"/>
  <c r="G39" i="113"/>
  <c r="G9" i="113"/>
  <c r="G33" i="113"/>
  <c r="D17" i="93"/>
  <c r="E17" i="93" s="1"/>
  <c r="H11" i="126"/>
  <c r="I11" i="126" s="1"/>
  <c r="H12" i="126"/>
  <c r="I12" i="126" s="1"/>
  <c r="H13" i="126"/>
  <c r="H14" i="126"/>
  <c r="I14" i="126" s="1"/>
  <c r="H15" i="126"/>
  <c r="H17" i="126"/>
  <c r="I17" i="126" s="1"/>
  <c r="H16" i="126"/>
  <c r="I16" i="126" s="1"/>
  <c r="H18" i="126"/>
  <c r="I18" i="126" s="1"/>
  <c r="H19" i="126"/>
  <c r="I19" i="126" s="1"/>
  <c r="H20" i="126"/>
  <c r="I20" i="126" s="1"/>
  <c r="H21" i="126"/>
  <c r="I21" i="126" s="1"/>
  <c r="H22" i="126"/>
  <c r="I22" i="126" s="1"/>
  <c r="H23" i="126"/>
  <c r="I23" i="126" s="1"/>
  <c r="H24" i="126"/>
  <c r="I24" i="126" s="1"/>
  <c r="H25" i="126"/>
  <c r="I25" i="126" s="1"/>
  <c r="H26" i="126"/>
  <c r="I26" i="126" s="1"/>
  <c r="H27" i="126"/>
  <c r="I27" i="126" s="1"/>
  <c r="H28" i="126"/>
  <c r="I28" i="126" s="1"/>
  <c r="H30" i="126"/>
  <c r="I30" i="126" s="1"/>
  <c r="H31" i="126"/>
  <c r="I31" i="126" s="1"/>
  <c r="H32" i="126"/>
  <c r="I32" i="126" s="1"/>
  <c r="H40" i="126"/>
  <c r="I40" i="126" s="1"/>
  <c r="H41" i="126"/>
  <c r="I41" i="126" s="1"/>
  <c r="H42" i="126"/>
  <c r="I42" i="126" s="1"/>
  <c r="H43" i="126"/>
  <c r="I43" i="126" s="1"/>
  <c r="H46" i="126"/>
  <c r="I46" i="126" s="1"/>
  <c r="Y2" i="126"/>
  <c r="R2" i="126"/>
  <c r="L2" i="126"/>
  <c r="Y1" i="126"/>
  <c r="R1" i="126"/>
  <c r="L1" i="126"/>
  <c r="D10" i="93"/>
  <c r="E10" i="93" s="1"/>
  <c r="D11" i="93"/>
  <c r="E11" i="93" s="1"/>
  <c r="D12" i="93"/>
  <c r="E12" i="93" s="1"/>
  <c r="D13" i="93"/>
  <c r="E13" i="93" s="1"/>
  <c r="D14" i="93"/>
  <c r="E14" i="93" s="1"/>
  <c r="D16" i="93"/>
  <c r="E16" i="93"/>
  <c r="D18" i="93"/>
  <c r="E18" i="93" s="1"/>
  <c r="D19" i="93"/>
  <c r="E19" i="93" s="1"/>
  <c r="D20" i="93"/>
  <c r="E20" i="93" s="1"/>
  <c r="AB16" i="125"/>
  <c r="AA16" i="125"/>
  <c r="Z16" i="125"/>
  <c r="Y16" i="125"/>
  <c r="X16" i="125"/>
  <c r="W16" i="125"/>
  <c r="V16" i="125"/>
  <c r="U16" i="125"/>
  <c r="T16" i="125"/>
  <c r="S16" i="125"/>
  <c r="R16" i="125"/>
  <c r="Q16" i="125"/>
  <c r="P16" i="125"/>
  <c r="O16" i="125"/>
  <c r="N16" i="125"/>
  <c r="M16" i="125"/>
  <c r="L16" i="125"/>
  <c r="K16" i="125"/>
  <c r="J16" i="125"/>
  <c r="I16" i="125"/>
  <c r="H16" i="125"/>
  <c r="E16" i="125"/>
  <c r="F14" i="125"/>
  <c r="G14" i="125"/>
  <c r="F13" i="125"/>
  <c r="G13" i="125"/>
  <c r="F12" i="125"/>
  <c r="G12" i="125"/>
  <c r="F11" i="125"/>
  <c r="G11" i="125"/>
  <c r="F10" i="125"/>
  <c r="G10" i="125"/>
  <c r="F9" i="125"/>
  <c r="W2" i="125"/>
  <c r="P2" i="125"/>
  <c r="J2" i="125"/>
  <c r="W1" i="125"/>
  <c r="P1" i="125"/>
  <c r="J1" i="125"/>
  <c r="H22" i="97"/>
  <c r="H20" i="97"/>
  <c r="I20" i="97" s="1"/>
  <c r="H17" i="97"/>
  <c r="I17" i="97" s="1"/>
  <c r="H16" i="97"/>
  <c r="I16" i="97" s="1"/>
  <c r="H15" i="97"/>
  <c r="I15" i="97" s="1"/>
  <c r="H14" i="97"/>
  <c r="H13" i="97"/>
  <c r="H12" i="97"/>
  <c r="I12" i="97" s="1"/>
  <c r="H11" i="97"/>
  <c r="H10" i="97"/>
  <c r="I10" i="97" s="1"/>
  <c r="Z2" i="121"/>
  <c r="S2" i="121"/>
  <c r="M2" i="121"/>
  <c r="Z1" i="121"/>
  <c r="S1" i="121"/>
  <c r="M1" i="121"/>
  <c r="F10" i="95"/>
  <c r="F11" i="95"/>
  <c r="F12" i="95"/>
  <c r="F13" i="95"/>
  <c r="F14" i="95"/>
  <c r="F9" i="95"/>
  <c r="E10" i="99"/>
  <c r="E11" i="99"/>
  <c r="E9" i="99"/>
  <c r="L13" i="99"/>
  <c r="M13" i="99"/>
  <c r="AJ16" i="95"/>
  <c r="AK16" i="95"/>
  <c r="AI16" i="118"/>
  <c r="AJ16" i="118"/>
  <c r="AG2" i="95"/>
  <c r="AG1" i="95"/>
  <c r="Z2" i="95"/>
  <c r="Z1" i="95"/>
  <c r="AA1" i="118"/>
  <c r="T1" i="118"/>
  <c r="N1" i="118"/>
  <c r="AA2" i="113"/>
  <c r="AA1" i="113"/>
  <c r="T2" i="113"/>
  <c r="T1" i="113"/>
  <c r="N2" i="113"/>
  <c r="N1" i="113"/>
  <c r="R2" i="93"/>
  <c r="R1" i="93"/>
  <c r="L2" i="93"/>
  <c r="L1" i="93"/>
  <c r="O2" i="116"/>
  <c r="O1" i="116"/>
  <c r="H2" i="116"/>
  <c r="H1" i="116"/>
  <c r="Y2" i="97"/>
  <c r="R2" i="97"/>
  <c r="L2" i="97"/>
  <c r="Y1" i="97"/>
  <c r="R1" i="97"/>
  <c r="L1" i="97"/>
  <c r="F10" i="118"/>
  <c r="G10" i="118" s="1"/>
  <c r="F11" i="118"/>
  <c r="G11" i="118" s="1"/>
  <c r="F13" i="118"/>
  <c r="G13" i="118" s="1"/>
  <c r="F14" i="118"/>
  <c r="G14" i="118" s="1"/>
  <c r="C16" i="118"/>
  <c r="E16" i="118"/>
  <c r="H16" i="118"/>
  <c r="I16" i="118"/>
  <c r="J16" i="118"/>
  <c r="K16" i="118"/>
  <c r="M16" i="118"/>
  <c r="N16" i="118"/>
  <c r="O16" i="118"/>
  <c r="P16" i="118"/>
  <c r="R16" i="118"/>
  <c r="S16" i="118"/>
  <c r="T16" i="118"/>
  <c r="U16" i="118"/>
  <c r="V16" i="118"/>
  <c r="W16" i="118"/>
  <c r="X16" i="118"/>
  <c r="Y16" i="118"/>
  <c r="Z16" i="118"/>
  <c r="AA16" i="118"/>
  <c r="AB16" i="118"/>
  <c r="AC16" i="118"/>
  <c r="AD16" i="118"/>
  <c r="AE16" i="118"/>
  <c r="AF16" i="118"/>
  <c r="AG16" i="118"/>
  <c r="AH16" i="118"/>
  <c r="N2" i="118"/>
  <c r="T2" i="118"/>
  <c r="L16" i="118"/>
  <c r="G10" i="95"/>
  <c r="G11" i="95"/>
  <c r="H11" i="95"/>
  <c r="G12" i="95"/>
  <c r="G13" i="95"/>
  <c r="G14" i="95"/>
  <c r="G9" i="95"/>
  <c r="F9" i="99"/>
  <c r="G9" i="99"/>
  <c r="F11" i="99"/>
  <c r="G11" i="99"/>
  <c r="F10" i="99"/>
  <c r="G10" i="99"/>
  <c r="K13" i="99"/>
  <c r="G34" i="113"/>
  <c r="I16" i="95"/>
  <c r="J16" i="95"/>
  <c r="K16" i="95"/>
  <c r="L16" i="95"/>
  <c r="M16" i="95"/>
  <c r="N16" i="95"/>
  <c r="O16" i="95"/>
  <c r="P16" i="95"/>
  <c r="Q16" i="95"/>
  <c r="R16" i="95"/>
  <c r="S16" i="95"/>
  <c r="T16" i="95"/>
  <c r="U16" i="95"/>
  <c r="V16" i="95"/>
  <c r="W16" i="95"/>
  <c r="X16" i="95"/>
  <c r="Y16" i="95"/>
  <c r="Z16" i="95"/>
  <c r="AA16" i="95"/>
  <c r="AB16" i="95"/>
  <c r="AC16" i="95"/>
  <c r="AD16" i="95"/>
  <c r="AE16" i="95"/>
  <c r="AF16" i="95"/>
  <c r="AG16" i="95"/>
  <c r="AH16" i="95"/>
  <c r="AI16" i="95"/>
  <c r="D16" i="95"/>
  <c r="C16" i="95"/>
  <c r="J13" i="99"/>
  <c r="I13" i="99"/>
  <c r="H13" i="99"/>
  <c r="C13" i="99"/>
  <c r="E13" i="99"/>
  <c r="S2" i="95"/>
  <c r="M2" i="95"/>
  <c r="M1" i="95"/>
  <c r="C24" i="93"/>
  <c r="I24" i="93"/>
  <c r="H10" i="126"/>
  <c r="I10" i="126" s="1"/>
  <c r="F24" i="93"/>
  <c r="H24" i="93"/>
  <c r="G24" i="93"/>
  <c r="H33" i="126"/>
  <c r="I33" i="126" s="1"/>
  <c r="G10" i="113"/>
  <c r="G28" i="113"/>
  <c r="F46" i="113"/>
  <c r="D33" i="139"/>
  <c r="H37" i="126"/>
  <c r="H36" i="126"/>
  <c r="G9" i="125"/>
  <c r="H10" i="95"/>
  <c r="L24" i="93"/>
  <c r="G11" i="130"/>
  <c r="J24" i="93"/>
  <c r="H12" i="95"/>
  <c r="F12" i="140"/>
  <c r="D9" i="93"/>
  <c r="E9" i="93" s="1"/>
  <c r="D12" i="138"/>
  <c r="H23" i="97"/>
  <c r="I23" i="97" s="1"/>
  <c r="G10" i="130"/>
  <c r="L33" i="139"/>
  <c r="H9" i="97"/>
  <c r="F16" i="95"/>
  <c r="N24" i="97"/>
  <c r="I13" i="97"/>
  <c r="D13" i="133"/>
  <c r="H14" i="95"/>
  <c r="G13" i="99"/>
  <c r="H13" i="95"/>
  <c r="E16" i="130"/>
  <c r="J33" i="139"/>
  <c r="S24" i="97"/>
  <c r="F13" i="99"/>
  <c r="G46" i="113"/>
  <c r="F9" i="130"/>
  <c r="G9" i="130" s="1"/>
  <c r="F11" i="137"/>
  <c r="H33" i="139"/>
  <c r="O24" i="93"/>
  <c r="L24" i="97"/>
  <c r="O24" i="97"/>
  <c r="H9" i="95"/>
  <c r="E13" i="133"/>
  <c r="R24" i="97"/>
  <c r="J18" i="140"/>
  <c r="F16" i="125"/>
  <c r="F15" i="136"/>
  <c r="L18" i="140"/>
  <c r="E12" i="138"/>
  <c r="G16" i="95"/>
  <c r="F33" i="139"/>
  <c r="M24" i="93"/>
  <c r="G13" i="130"/>
  <c r="G15" i="136"/>
  <c r="G18" i="132"/>
  <c r="G16" i="125"/>
  <c r="F18" i="132"/>
  <c r="H16" i="95"/>
  <c r="H15" i="116"/>
  <c r="J15" i="116"/>
  <c r="I15" i="116"/>
  <c r="E15" i="116" l="1"/>
  <c r="G13" i="116"/>
  <c r="G15" i="116" s="1"/>
  <c r="I14" i="97"/>
  <c r="H17" i="121"/>
  <c r="G17" i="121"/>
  <c r="G21" i="121" s="1"/>
  <c r="I21" i="97"/>
  <c r="G9" i="128"/>
  <c r="G11" i="128" s="1"/>
  <c r="F16" i="130"/>
  <c r="F79" i="144"/>
  <c r="G24" i="97"/>
  <c r="I22" i="97"/>
  <c r="I11" i="97"/>
  <c r="I38" i="126"/>
  <c r="I37" i="126"/>
  <c r="I36" i="126"/>
  <c r="I15" i="126"/>
  <c r="G48" i="126"/>
  <c r="I13" i="126"/>
  <c r="I48" i="126" s="1"/>
  <c r="G66" i="144"/>
  <c r="G79" i="144" s="1"/>
  <c r="G12" i="130"/>
  <c r="G16" i="130" s="1"/>
  <c r="G25" i="142"/>
  <c r="G29" i="142" s="1"/>
  <c r="D16" i="141"/>
  <c r="E16" i="141"/>
  <c r="F15" i="116"/>
  <c r="H25" i="142"/>
  <c r="E25" i="131"/>
  <c r="F25" i="131"/>
  <c r="G25" i="131"/>
  <c r="E24" i="93"/>
  <c r="D24" i="93"/>
  <c r="D26" i="93" s="1"/>
  <c r="H48" i="126"/>
  <c r="H24" i="97"/>
  <c r="I9" i="97"/>
  <c r="G16" i="118"/>
  <c r="F16" i="118"/>
  <c r="I24" i="9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Rodriguez, Marti</author>
  </authors>
  <commentList>
    <comment ref="E11" authorId="0" shapeId="0" xr:uid="{B751A437-0981-44FF-A343-CD65714505A1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Requested Reduction $32,673
</t>
        </r>
      </text>
    </comment>
    <comment ref="F11" authorId="0" shapeId="0" xr:uid="{65A05DEC-93B5-4844-B699-D2207D8DAB9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Approved Carryover of $29,399 was partially drawn in FY1920 leaving a total $3,844.58 to be drawn in FY2021
 </t>
        </r>
      </text>
    </comment>
    <comment ref="F13" authorId="0" shapeId="0" xr:uid="{793366BB-F412-4C7B-896C-56C7C6B677E4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Carryover was drawn down in Fy1920
</t>
        </r>
      </text>
    </comment>
    <comment ref="E21" authorId="0" shapeId="0" xr:uid="{7A6ED512-5CE0-4B90-BB56-6FC4A46D1262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Requested Reduction - $4117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Rodriguez, Marti</author>
    <author>Mueller, Pam</author>
  </authors>
  <commentList>
    <comment ref="E13" authorId="0" shapeId="0" xr:uid="{6542DF2E-55E7-456A-A192-D02245D9C6BF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Requested Reduction
</t>
        </r>
      </text>
    </comment>
    <comment ref="F18" authorId="0" shapeId="0" xr:uid="{C29C3A7A-C451-491C-A1EF-D4B5CC7E3C22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AFR reported $2180 carryover which was drawn in Fy1920
</t>
        </r>
      </text>
    </comment>
    <comment ref="F21" authorId="0" shapeId="0" xr:uid="{E2129064-6E49-4792-9258-782B65D43CDD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AFR reported $43,385 carryover. $366.69 was drawn in Fy1920 </t>
        </r>
      </text>
    </comment>
    <comment ref="E23" authorId="0" shapeId="0" xr:uid="{73AE429A-D916-4155-9AF6-17049961B341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Requested Reduction $52,992
</t>
        </r>
      </text>
    </comment>
    <comment ref="B2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The RFF has 7902  Could be 7904 for High School 7900 is the Elementary
</t>
        </r>
      </text>
    </comment>
    <comment ref="C32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This school is authorized by APS Y number assigned to insure payments paid to CSI
</t>
        </r>
      </text>
    </comment>
    <comment ref="E33" authorId="0" shapeId="0" xr:uid="{18E0B332-A51F-4642-9D11-29309E8C2A67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Requested Reduction $48,000</t>
        </r>
      </text>
    </comment>
    <comment ref="E34" authorId="0" shapeId="0" xr:uid="{F3C97380-4311-4EC8-A394-BE93105D4251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Requested Reduction $119,592
</t>
        </r>
      </text>
    </comment>
    <comment ref="E42" authorId="0" shapeId="0" xr:uid="{6E6D5E60-69DA-4B8B-AC20-22BBD7A50709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Requested Reudction $30,000
</t>
        </r>
      </text>
    </comment>
    <comment ref="E44" authorId="0" shapeId="0" xr:uid="{7F56448B-6BA8-443E-8432-4CE567F7F58D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Requested Reduction 
$91,942
</t>
        </r>
      </text>
    </comment>
    <comment ref="E45" authorId="0" shapeId="0" xr:uid="{51A952B7-2658-4542-B7C5-393AECE8A47A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Requested Reduction $48,031
</t>
        </r>
      </text>
    </comment>
    <comment ref="E46" authorId="0" shapeId="0" xr:uid="{B0A65F69-CDB7-40FE-94B3-F47DD9AB5B4E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Reduction Requested $57,804
</t>
        </r>
      </text>
    </comment>
    <comment ref="M46" authorId="0" shapeId="0" xr:uid="{43BC85F9-4EB5-4658-9DFA-52FEC254C78F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Payment of $2,100.30 plus return of cashh on hand $8,027.97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Mueller, Patrick</author>
  </authors>
  <commentList>
    <comment ref="U10" authorId="0" shapeId="0" xr:uid="{4BD3FA41-981B-4E0A-8475-3D9272D62478}">
      <text>
        <r>
          <rPr>
            <b/>
            <sz val="9"/>
            <color indexed="81"/>
            <rFont val="Tahoma"/>
            <charset val="1"/>
          </rPr>
          <t>Mueller, Patrick:</t>
        </r>
        <r>
          <rPr>
            <sz val="9"/>
            <color indexed="81"/>
            <rFont val="Tahoma"/>
            <charset val="1"/>
          </rPr>
          <t xml:space="preserve">
requested from 2122 funds; as these were not awarded yet, and as 2021 funds were to be rolled over, paid out of 2021 funds. PM 12/03/21</t>
        </r>
      </text>
    </comment>
    <comment ref="U13" authorId="0" shapeId="0" xr:uid="{36CB8854-1A94-428E-A5B4-58686616340C}">
      <text>
        <r>
          <rPr>
            <b/>
            <sz val="9"/>
            <color indexed="81"/>
            <rFont val="Tahoma"/>
            <charset val="1"/>
          </rPr>
          <t>Mueller, Patrick:</t>
        </r>
        <r>
          <rPr>
            <sz val="9"/>
            <color indexed="81"/>
            <rFont val="Tahoma"/>
            <charset val="1"/>
          </rPr>
          <t xml:space="preserve">
requested from 2122 funds; as these were not awarded yet, and as 2021 funds were to be rolled over, paid out of 2021 funds. PM 12/03/21</t>
        </r>
      </text>
    </comment>
    <comment ref="W14" authorId="0" shapeId="0" xr:uid="{7CF050B6-CA3F-450F-B49C-B69B956FEB86}">
      <text>
        <r>
          <rPr>
            <b/>
            <sz val="9"/>
            <color indexed="81"/>
            <rFont val="Tahoma"/>
            <charset val="1"/>
          </rPr>
          <t>Mueller, Patrick:</t>
        </r>
        <r>
          <rPr>
            <sz val="9"/>
            <color indexed="81"/>
            <rFont val="Tahoma"/>
            <charset val="1"/>
          </rPr>
          <t xml:space="preserve">
Tu Casa withdrawing from program, unspent funds to be reverted.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Rodriguez, Marti</author>
  </authors>
  <commentList>
    <comment ref="E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D11 has a new fiscal manager.  Once the Match PI form is received the document will be updated  mr
</t>
        </r>
      </text>
    </comment>
    <comment ref="E1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Call into fiscal manager at Montrose to discuss Match PI reporting.  Followup will be included on worksheet once completed</t>
        </r>
      </text>
    </comment>
    <comment ref="E31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Fiscal Manager is updating the Match PI form. Once received worksheet will be updated mr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Rodriguez, Marti</author>
    <author>Mueller, Patrick</author>
  </authors>
  <commentList>
    <comment ref="N12" authorId="0" shapeId="0" xr:uid="{402DBAE2-51D6-4E94-8913-F8D4203EF73E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Split payment due to charged 610M and 611M
</t>
        </r>
      </text>
    </comment>
    <comment ref="O12" authorId="1" shapeId="0" xr:uid="{B136BB34-D2B1-4ACE-8FDB-43FCC12C43F5}">
      <text>
        <r>
          <rPr>
            <b/>
            <sz val="9"/>
            <color indexed="81"/>
            <rFont val="Tahoma"/>
            <family val="2"/>
          </rPr>
          <t>Mueller, Patrick:</t>
        </r>
        <r>
          <rPr>
            <sz val="9"/>
            <color indexed="81"/>
            <rFont val="Tahoma"/>
            <family val="2"/>
          </rPr>
          <t xml:space="preserve">
8.50 to 610M 28713.50 to 611M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Rodriguez, Marti</author>
  </authors>
  <commentList>
    <comment ref="E9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D11 has a new fiscal manager-will be submitting updated Match PI Forms and once received worksheet will be updated . Mr
</t>
        </r>
      </text>
    </comment>
    <comment ref="E16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APDC submitted a Match PI form that is not in the correct format.  Will update once received from the fiscal manager. Mr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Hambleton, Jennifer</author>
  </authors>
  <commentList>
    <comment ref="C8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Hambleton, Jennifer:</t>
        </r>
        <r>
          <rPr>
            <sz val="9"/>
            <color indexed="81"/>
            <rFont val="Tahoma"/>
            <family val="2"/>
          </rPr>
          <t xml:space="preserve">
No new allocation in FY1718</t>
        </r>
      </text>
    </comment>
  </commentList>
</comments>
</file>

<file path=xl/sharedStrings.xml><?xml version="1.0" encoding="utf-8"?>
<sst xmlns="http://schemas.openxmlformats.org/spreadsheetml/2006/main" count="2153" uniqueCount="715">
  <si>
    <t>Grant:</t>
  </si>
  <si>
    <t>GRANT NUMBER:</t>
  </si>
  <si>
    <t>FISCAL YEAR:</t>
  </si>
  <si>
    <t>0030</t>
  </si>
  <si>
    <t>0180</t>
  </si>
  <si>
    <t>0480</t>
  </si>
  <si>
    <t>Y001</t>
  </si>
  <si>
    <t>Y295</t>
  </si>
  <si>
    <t>Front Range Community College</t>
  </si>
  <si>
    <t>Y693</t>
  </si>
  <si>
    <t>Y695</t>
  </si>
  <si>
    <t>Y699</t>
  </si>
  <si>
    <t>Northeastern Junior College</t>
  </si>
  <si>
    <t>Y711</t>
  </si>
  <si>
    <t>Y863</t>
  </si>
  <si>
    <t>ALLOCATION</t>
  </si>
  <si>
    <t>PAYMENTS TO DATE</t>
  </si>
  <si>
    <t>BALANCE</t>
  </si>
  <si>
    <t>Question regarding payments:</t>
  </si>
  <si>
    <t xml:space="preserve">Questions regarding grant: </t>
  </si>
  <si>
    <t xml:space="preserve">Adult Education </t>
  </si>
  <si>
    <t>Marti Rodriguez  303-866-6769 or rodriguez_m@cde.state.co.us</t>
  </si>
  <si>
    <t>0020</t>
  </si>
  <si>
    <t>0120</t>
  </si>
  <si>
    <t>Summer Scholars</t>
  </si>
  <si>
    <t>McKinney-Vento Homeless</t>
  </si>
  <si>
    <t>Title II-B Math &amp; Science Partnerships</t>
  </si>
  <si>
    <t>Denver Public Schools</t>
  </si>
  <si>
    <t>3120</t>
  </si>
  <si>
    <t>1420</t>
  </si>
  <si>
    <t>Y006</t>
  </si>
  <si>
    <t>Y007</t>
  </si>
  <si>
    <t>Marti Rodriguez 303-866-6769 or rodriguez_m@cde.state.co.us</t>
  </si>
  <si>
    <t xml:space="preserve"> </t>
  </si>
  <si>
    <t>1510</t>
  </si>
  <si>
    <t>9035</t>
  </si>
  <si>
    <t>2790</t>
  </si>
  <si>
    <t>3080</t>
  </si>
  <si>
    <t>0870</t>
  </si>
  <si>
    <t>2020</t>
  </si>
  <si>
    <t>1560</t>
  </si>
  <si>
    <t>3130</t>
  </si>
  <si>
    <t>1828</t>
  </si>
  <si>
    <t>SCHOOL NAME</t>
  </si>
  <si>
    <t>DISTRICT NAME</t>
  </si>
  <si>
    <t>Evan Davis 303-866-6129 or davis_e@cde.state.co.us</t>
  </si>
  <si>
    <t>Totals</t>
  </si>
  <si>
    <t>Title V-B Charter School Grant Program C1</t>
  </si>
  <si>
    <t>0123</t>
  </si>
  <si>
    <t>0290</t>
  </si>
  <si>
    <t>0580</t>
  </si>
  <si>
    <t>0880</t>
  </si>
  <si>
    <t>1530</t>
  </si>
  <si>
    <t>1550</t>
  </si>
  <si>
    <t>8001</t>
  </si>
  <si>
    <t>Poudre School District</t>
  </si>
  <si>
    <t>JANUARY
2018</t>
  </si>
  <si>
    <t>FEBRUARY
2018</t>
  </si>
  <si>
    <t>MARCH
2018</t>
  </si>
  <si>
    <t>APRIL
2018</t>
  </si>
  <si>
    <t>MAY
2018</t>
  </si>
  <si>
    <t>JUNE
2018</t>
  </si>
  <si>
    <t>JULY
2018</t>
  </si>
  <si>
    <t>AUGUST
2018</t>
  </si>
  <si>
    <t>SEPTEMBER
2018</t>
  </si>
  <si>
    <t>0010</t>
  </si>
  <si>
    <t>9050</t>
  </si>
  <si>
    <t>Y009</t>
  </si>
  <si>
    <t>Y646</t>
  </si>
  <si>
    <t>Y701</t>
  </si>
  <si>
    <t>Y705</t>
  </si>
  <si>
    <t>Y709</t>
  </si>
  <si>
    <t>Y815</t>
  </si>
  <si>
    <t>1010</t>
  </si>
  <si>
    <t>2180</t>
  </si>
  <si>
    <t>Colorado Mountain College</t>
  </si>
  <si>
    <t>Focus Points Family Resource Center</t>
  </si>
  <si>
    <t>Community College of Denver</t>
  </si>
  <si>
    <t>Adams 12 Five Star Schools</t>
  </si>
  <si>
    <t>Adams County School District 14</t>
  </si>
  <si>
    <t>Jefferson County School District R-1</t>
  </si>
  <si>
    <t>Thompson School District R2J</t>
  </si>
  <si>
    <t>2000</t>
  </si>
  <si>
    <t>Mesa County Valley School District #51</t>
  </si>
  <si>
    <t>Weld County School District 6</t>
  </si>
  <si>
    <t>Centennial Board of Cooperative Educational Services</t>
  </si>
  <si>
    <t>9055</t>
  </si>
  <si>
    <t>IEL CIVICS</t>
  </si>
  <si>
    <t>0900</t>
  </si>
  <si>
    <t>Douglas County School District</t>
  </si>
  <si>
    <t>Y947</t>
  </si>
  <si>
    <t>Aurora Public Schools</t>
  </si>
  <si>
    <t>Metropolitan State University of Denver</t>
  </si>
  <si>
    <t>0990</t>
  </si>
  <si>
    <t>Y004</t>
  </si>
  <si>
    <t>Y861</t>
  </si>
  <si>
    <t>0502</t>
  </si>
  <si>
    <t>0965</t>
  </si>
  <si>
    <t>Meadow Community School</t>
  </si>
  <si>
    <t>Wyatt Academy</t>
  </si>
  <si>
    <t>Y584</t>
  </si>
  <si>
    <t>Sheridan 2</t>
  </si>
  <si>
    <t>1110</t>
  </si>
  <si>
    <t>2580</t>
  </si>
  <si>
    <t>Aurora Central High School</t>
  </si>
  <si>
    <t>CARRYOVER</t>
  </si>
  <si>
    <t>2190</t>
  </si>
  <si>
    <t>1520</t>
  </si>
  <si>
    <t>1360</t>
  </si>
  <si>
    <t>1380</t>
  </si>
  <si>
    <t>2590</t>
  </si>
  <si>
    <t>2780</t>
  </si>
  <si>
    <t>2840</t>
  </si>
  <si>
    <t>3090</t>
  </si>
  <si>
    <t>3210</t>
  </si>
  <si>
    <t>Widefield School District 3</t>
  </si>
  <si>
    <t>Durango School District 9-R</t>
  </si>
  <si>
    <t>Wray School District RD-2</t>
  </si>
  <si>
    <t>OCTOBER
2018</t>
  </si>
  <si>
    <t>NOVEMBER
2018</t>
  </si>
  <si>
    <t>JANUARY
2019</t>
  </si>
  <si>
    <t>FEBRUARY
2019</t>
  </si>
  <si>
    <t>MARCH
2019</t>
  </si>
  <si>
    <t>APRIL
2019</t>
  </si>
  <si>
    <t>MAY
2019</t>
  </si>
  <si>
    <t>JUNE
2019</t>
  </si>
  <si>
    <t>JULY
2019</t>
  </si>
  <si>
    <t>AUGUST
2019</t>
  </si>
  <si>
    <t>SEPTEMBER
2019</t>
  </si>
  <si>
    <t>DECEMBER
2018</t>
  </si>
  <si>
    <t>DECEMBER
2019</t>
  </si>
  <si>
    <t xml:space="preserve">Javits Gifted and Talented - Right 4 Rural </t>
  </si>
  <si>
    <t>DISTRICT/AGENCY NAME</t>
  </si>
  <si>
    <t>Y028</t>
  </si>
  <si>
    <t>Y031</t>
  </si>
  <si>
    <t>Migrant Student Information Exchange</t>
  </si>
  <si>
    <t>4144</t>
  </si>
  <si>
    <t>Y044</t>
  </si>
  <si>
    <t>DISTRICT CODE</t>
  </si>
  <si>
    <t>FISCAL AGENT</t>
  </si>
  <si>
    <t>TOTAL ALLOCATION</t>
  </si>
  <si>
    <t>Questions regarding payments:</t>
  </si>
  <si>
    <t>Title I-C Migrant</t>
  </si>
  <si>
    <t>67xC</t>
  </si>
  <si>
    <t>21st Century Cohort 7</t>
  </si>
  <si>
    <t>SCHOOL CODE</t>
  </si>
  <si>
    <t>30xC</t>
  </si>
  <si>
    <t>GBL:</t>
  </si>
  <si>
    <t>27xC</t>
  </si>
  <si>
    <t>22xF</t>
  </si>
  <si>
    <t>61xD</t>
  </si>
  <si>
    <t>61xM</t>
  </si>
  <si>
    <t xml:space="preserve">74xC </t>
  </si>
  <si>
    <t>21xC</t>
  </si>
  <si>
    <t>Multi-Tiered System of Supports</t>
  </si>
  <si>
    <t>32xG</t>
  </si>
  <si>
    <t>28xC</t>
  </si>
  <si>
    <t>CARRY FORWARD</t>
  </si>
  <si>
    <t>REVERT</t>
  </si>
  <si>
    <t>SUPPLEMENTAL</t>
  </si>
  <si>
    <t>Deaf and Blind Centers</t>
  </si>
  <si>
    <t>38xD</t>
  </si>
  <si>
    <t>2018-19</t>
  </si>
  <si>
    <t>OCTOBER
2019</t>
  </si>
  <si>
    <t>NOVEMBER
2019</t>
  </si>
  <si>
    <t>Adams County School District #1</t>
  </si>
  <si>
    <t>Boulder Valley School District RE-2</t>
  </si>
  <si>
    <t>School District No 1 In the City and County of Denver and State of Colorado</t>
  </si>
  <si>
    <t>Lake County School District R-1</t>
  </si>
  <si>
    <t>Boys and Girls Clubs of Metro Denver Inc.</t>
  </si>
  <si>
    <t>Asian Pacific Development Center of Colorado</t>
  </si>
  <si>
    <t xml:space="preserve">1878
</t>
  </si>
  <si>
    <t>3272</t>
  </si>
  <si>
    <t>7592</t>
  </si>
  <si>
    <t>1774</t>
  </si>
  <si>
    <t>6188</t>
  </si>
  <si>
    <t>4422</t>
  </si>
  <si>
    <t>6848</t>
  </si>
  <si>
    <t>4901</t>
  </si>
  <si>
    <t>1384</t>
  </si>
  <si>
    <t>Coronado Hills Elementary, Hillcrest Elementary, Malley Drive Elementary, North Star Elementary, Stukey Elementary, Thornton Elementary</t>
  </si>
  <si>
    <t>Fulton Academy of Excellence, Sable Elementary, Vaughn Elementary</t>
  </si>
  <si>
    <t>Alicia Sanchez International School</t>
  </si>
  <si>
    <t>Colfax Elementary, Cowell Elementary, Eagleton Elementary, Lake International School/STRIVE Prep Lake</t>
  </si>
  <si>
    <t>Munroe Elementary</t>
  </si>
  <si>
    <t>Brady Exploration School</t>
  </si>
  <si>
    <t>Jefferson Jr/Sr High School, Lumberg Elementary, Stevens Elementary</t>
  </si>
  <si>
    <t>Lake County Intermediate/Lake County High School</t>
  </si>
  <si>
    <t>Centennial Elementary, Northridge High School, Prairie Heights Middle School</t>
  </si>
  <si>
    <t xml:space="preserve">Cole Arts and Science Academy, Godsman Elementary, Johnson Elementary, </t>
  </si>
  <si>
    <t>Hinkley High School</t>
  </si>
  <si>
    <t>Columbine Elementary, International Academy of Denver at Harrington, John Amesse Elementary, Oakland Elementary,</t>
  </si>
  <si>
    <t>Colorado Charter School Institute</t>
  </si>
  <si>
    <t>21st Century Cohort 8</t>
  </si>
  <si>
    <t>BEST Instruction</t>
  </si>
  <si>
    <t>78xB</t>
  </si>
  <si>
    <t>5367</t>
  </si>
  <si>
    <t>1050</t>
  </si>
  <si>
    <t>1540</t>
  </si>
  <si>
    <t>2600</t>
  </si>
  <si>
    <t>Las Animas School District RE-1</t>
  </si>
  <si>
    <t>South Conejos School District RE-10</t>
  </si>
  <si>
    <t>Ellicott School District # 22</t>
  </si>
  <si>
    <t>Ignacio School District 11-JT</t>
  </si>
  <si>
    <t>Moffat County School District 1</t>
  </si>
  <si>
    <t>Platte Canyon School District No 1</t>
  </si>
  <si>
    <t>Multiple Sites</t>
  </si>
  <si>
    <t>AIM Global</t>
  </si>
  <si>
    <t>Guadalupe Elementary</t>
  </si>
  <si>
    <t>Ellicott Elementary School</t>
  </si>
  <si>
    <t>Ignacio High School</t>
  </si>
  <si>
    <t>Moffat County High School</t>
  </si>
  <si>
    <t>Platte Canyon High School</t>
  </si>
  <si>
    <t>TPAAK</t>
  </si>
  <si>
    <t>High Flyers</t>
  </si>
  <si>
    <t>70xH</t>
  </si>
  <si>
    <t>6010</t>
  </si>
  <si>
    <t>0980</t>
  </si>
  <si>
    <t>2770</t>
  </si>
  <si>
    <t>9175</t>
  </si>
  <si>
    <t>Harrison School District Two</t>
  </si>
  <si>
    <t>Steamboat Springs School District RE 2</t>
  </si>
  <si>
    <t>Colorado River BOCES</t>
  </si>
  <si>
    <t>2145</t>
  </si>
  <si>
    <t>2186</t>
  </si>
  <si>
    <t>Green Valley High School</t>
  </si>
  <si>
    <t>Byers Middle School</t>
  </si>
  <si>
    <t>Soaring Eagles Elementary</t>
  </si>
  <si>
    <t>Tavelli Elementary School</t>
  </si>
  <si>
    <t>Strawberry Park Elementary</t>
  </si>
  <si>
    <t>Yampah Mountain School</t>
  </si>
  <si>
    <t>Pam Mueller 303-866-6905 or mueller_pam@cde.state.co.us</t>
  </si>
  <si>
    <t>JANUARY
2020</t>
  </si>
  <si>
    <t>FEBRUARY
2020</t>
  </si>
  <si>
    <t>MARCH
2020</t>
  </si>
  <si>
    <t>APRIL
2020</t>
  </si>
  <si>
    <t>MAY
2020</t>
  </si>
  <si>
    <t>JUNE
2020</t>
  </si>
  <si>
    <t>JULY
2020</t>
  </si>
  <si>
    <t>AUGUST
2020</t>
  </si>
  <si>
    <t>SEPTEMBER
2020</t>
  </si>
  <si>
    <t>Durango Education Center</t>
  </si>
  <si>
    <t>School District#1 in the City and County of Denver and State of Colorado DBA Emily Griffith Technical School</t>
  </si>
  <si>
    <t>Right to Read of Weld County Inc</t>
  </si>
  <si>
    <t>Colorado Springs School District 11</t>
  </si>
  <si>
    <t xml:space="preserve">Adams State University  </t>
  </si>
  <si>
    <t>0310</t>
  </si>
  <si>
    <t>1220</t>
  </si>
  <si>
    <t>1390</t>
  </si>
  <si>
    <t>1590</t>
  </si>
  <si>
    <t>1620</t>
  </si>
  <si>
    <t>2820</t>
  </si>
  <si>
    <t>Y058</t>
  </si>
  <si>
    <t>Y061</t>
  </si>
  <si>
    <t>Y062</t>
  </si>
  <si>
    <t>Y063</t>
  </si>
  <si>
    <t>Y064</t>
  </si>
  <si>
    <t>Y071</t>
  </si>
  <si>
    <t>Y072</t>
  </si>
  <si>
    <t>Y081</t>
  </si>
  <si>
    <t>Y049</t>
  </si>
  <si>
    <t>Arapahoe County School District #1</t>
  </si>
  <si>
    <t>Mc Clave School District RE 2</t>
  </si>
  <si>
    <t>Garfield County School District 16</t>
  </si>
  <si>
    <t>Huerfano School District Number RE-1</t>
  </si>
  <si>
    <t>Primero Reorganized School District Number 2</t>
  </si>
  <si>
    <t>Aguilar School District RE-6</t>
  </si>
  <si>
    <t>Mountain Valley School District R E1</t>
  </si>
  <si>
    <t>Silverton School District 1</t>
  </si>
  <si>
    <t>Colorado Aerolab</t>
  </si>
  <si>
    <t>Heart &amp; Hand Center</t>
  </si>
  <si>
    <t>High Valley Community Center, Inc.</t>
  </si>
  <si>
    <t>Onward A Legacy Foundation-MCHS</t>
  </si>
  <si>
    <t>Onward A Legacy Foundation-SWOS</t>
  </si>
  <si>
    <t>Boys &amp; Girls Club of Larimer County</t>
  </si>
  <si>
    <t>Riverside Educational Center</t>
  </si>
  <si>
    <t>Boys Girls Club of Pueblo</t>
  </si>
  <si>
    <t>0504</t>
  </si>
  <si>
    <t>0503</t>
  </si>
  <si>
    <t>0464</t>
  </si>
  <si>
    <t>5666</t>
  </si>
  <si>
    <t>4496</t>
  </si>
  <si>
    <t>0520</t>
  </si>
  <si>
    <t>0040</t>
  </si>
  <si>
    <t>9212</t>
  </si>
  <si>
    <t>0108</t>
  </si>
  <si>
    <t>0109</t>
  </si>
  <si>
    <t>9486</t>
  </si>
  <si>
    <t>0612</t>
  </si>
  <si>
    <t>7160</t>
  </si>
  <si>
    <t>0058</t>
  </si>
  <si>
    <t>2224</t>
  </si>
  <si>
    <t>6146</t>
  </si>
  <si>
    <t>0054</t>
  </si>
  <si>
    <t>Y862</t>
  </si>
  <si>
    <t>Welby Community School</t>
  </si>
  <si>
    <t>York International</t>
  </si>
  <si>
    <t>Federal Heights Elementary
McElwain Elementary
Rocky Mountain Elementary</t>
  </si>
  <si>
    <t>Clayton Elementary</t>
  </si>
  <si>
    <t>Aurora Hills Middle School
Kenton Elementary</t>
  </si>
  <si>
    <t>McClave Elementary
McClave Undivided High School</t>
  </si>
  <si>
    <t>Justice High Charter School</t>
  </si>
  <si>
    <t>Barnum Elementary
DCIS at Fairmont
Ellis Elementary
Hallett Academy</t>
  </si>
  <si>
    <t>Ridge View Academy Charter School</t>
  </si>
  <si>
    <t>Bea Underwood Elementary
Grand Valley Center for Family Learning
Grand Valley Middle School
Grand Valley High School</t>
  </si>
  <si>
    <t>John Mall High School</t>
  </si>
  <si>
    <t>Alameda International Junior/Senior High School</t>
  </si>
  <si>
    <t>Arvada K-8
Thomson Elementary</t>
  </si>
  <si>
    <t>West Park Elementary</t>
  </si>
  <si>
    <t>Bauder Elementary
Beattie Elementary
Poudre Community Academy</t>
  </si>
  <si>
    <t>Primero Elementary
Primero Junior/Senior High School</t>
  </si>
  <si>
    <t>Aguilar Elementary
Aguilar Junior/Senior High School</t>
  </si>
  <si>
    <t>Dos Rios Elementary</t>
  </si>
  <si>
    <t>Mountain Valley School</t>
  </si>
  <si>
    <t>Silverton Elementary
Silverton Middle School
Silverton High School</t>
  </si>
  <si>
    <t>New America School Lowry
New America School Thornton
New America School Lakewood</t>
  </si>
  <si>
    <t>Pinnacle Charter School Elementary</t>
  </si>
  <si>
    <t>Vega Collegiate Academy</t>
  </si>
  <si>
    <t>Beach Court Elementary
KIPP Northeast Denver Middle School
Hidden Lake High School</t>
  </si>
  <si>
    <t>Smith Elementary</t>
  </si>
  <si>
    <t>Del Norte Schools K-8</t>
  </si>
  <si>
    <t>Montezuma-Cortez High School</t>
  </si>
  <si>
    <t>Southwest Open Charter School</t>
  </si>
  <si>
    <t>Monroe Elementary
Truscott Elementary</t>
  </si>
  <si>
    <t>Bookcliff Middle School
Mount Garfield Middle School
Orchard Mesa Middle School
Rocky Mountain Elementary</t>
  </si>
  <si>
    <t>Omar D Blair Charter School</t>
  </si>
  <si>
    <t>Ashley Elementary</t>
  </si>
  <si>
    <t>Harris Park Elementary
Mesa Elementary</t>
  </si>
  <si>
    <t>Wyman School</t>
  </si>
  <si>
    <t>Y067</t>
  </si>
  <si>
    <t>San Luis Valley Combined Educators</t>
  </si>
  <si>
    <t>Y066</t>
  </si>
  <si>
    <t>Y027</t>
  </si>
  <si>
    <t xml:space="preserve">Colorado Northwestern Community College </t>
  </si>
  <si>
    <t>6914</t>
  </si>
  <si>
    <t>0860</t>
  </si>
  <si>
    <t>2740</t>
  </si>
  <si>
    <t>2810</t>
  </si>
  <si>
    <t>3000</t>
  </si>
  <si>
    <t>Brighton School District 27J</t>
  </si>
  <si>
    <t>Custer County Consolidated C 1 School District</t>
  </si>
  <si>
    <t>Delta County Joint School District No. 50</t>
  </si>
  <si>
    <t>Gunnison Watershed School District</t>
  </si>
  <si>
    <t>Hinsdale County RE-1 School District</t>
  </si>
  <si>
    <t>Laplata County School District 10 JT R.</t>
  </si>
  <si>
    <t>West End School District RE 2</t>
  </si>
  <si>
    <t>Ouray School District R-1</t>
  </si>
  <si>
    <t>Ouray County R-2 School District</t>
  </si>
  <si>
    <t>Monte Vista School District 8</t>
  </si>
  <si>
    <t>South Routt Re-3 School District</t>
  </si>
  <si>
    <t>Center Consolidated School District 26 Jt</t>
  </si>
  <si>
    <t>Norwood School District R2JT</t>
  </si>
  <si>
    <t>Summit School District RE 1</t>
  </si>
  <si>
    <t>Weld County School District RE-3J</t>
  </si>
  <si>
    <t>San Juan Board of Cooperative Services</t>
  </si>
  <si>
    <t xml:space="preserve">Total </t>
  </si>
  <si>
    <t>CDC Improving Student Health</t>
  </si>
  <si>
    <t>25xD</t>
  </si>
  <si>
    <t>7981</t>
  </si>
  <si>
    <t>Englewood 1</t>
  </si>
  <si>
    <t>Lake County RE - 1</t>
  </si>
  <si>
    <t>Valley RE - 1</t>
  </si>
  <si>
    <t>Weld County RE - 1</t>
  </si>
  <si>
    <t>Platte Valley RE - 7</t>
  </si>
  <si>
    <t>Title III PD</t>
  </si>
  <si>
    <t>The Cube School</t>
  </si>
  <si>
    <t>Ascent Classical Academy of Douglas County</t>
  </si>
  <si>
    <t>AXIS</t>
  </si>
  <si>
    <t>2055</t>
  </si>
  <si>
    <t>Dolores Re-4 School District</t>
  </si>
  <si>
    <t>Y941</t>
  </si>
  <si>
    <t>Center Viking Youth Club</t>
  </si>
  <si>
    <t>Pueblo School District 70</t>
  </si>
  <si>
    <t>Boulder Valley School District Re-2</t>
  </si>
  <si>
    <t>Montrose County School District RE-1J</t>
  </si>
  <si>
    <t>Pikes Peak Library District Foundation</t>
  </si>
  <si>
    <t>Community Educational Outreach</t>
  </si>
  <si>
    <t>SEL Tutoring</t>
  </si>
  <si>
    <t>Learning Source, The</t>
  </si>
  <si>
    <t>Spring Institute for Intercultural Learning, The</t>
  </si>
  <si>
    <t>Center for Relationship Education, The</t>
  </si>
  <si>
    <t>Carry Forward</t>
  </si>
  <si>
    <t>Revert</t>
  </si>
  <si>
    <t>Coperni 3</t>
  </si>
  <si>
    <t>2700</t>
  </si>
  <si>
    <t>Pueblo School District #70</t>
  </si>
  <si>
    <t>Empower Community HS</t>
  </si>
  <si>
    <t>0130</t>
  </si>
  <si>
    <t>Cherry Creek School District #5</t>
  </si>
  <si>
    <t>Colorado Skies Academy</t>
  </si>
  <si>
    <t>0890</t>
  </si>
  <si>
    <t>Dolores County School District</t>
  </si>
  <si>
    <t>7902</t>
  </si>
  <si>
    <t>ADAMS-ARAPAHOE 28J</t>
  </si>
  <si>
    <t>3140</t>
  </si>
  <si>
    <t>WELD COUNTY S/D RE-8</t>
  </si>
  <si>
    <t>0079</t>
  </si>
  <si>
    <t>9084</t>
  </si>
  <si>
    <t>2019-20</t>
  </si>
  <si>
    <t>JUNE
220</t>
  </si>
  <si>
    <t>OCTOBER
2020</t>
  </si>
  <si>
    <t>NOVEMBER
2020</t>
  </si>
  <si>
    <t>Joe Shields, (303) 866-6034, shields_j@cde.state.co.us</t>
  </si>
  <si>
    <t>Marti Rodriguez, (303) 866-6769, rodriguez_m@cde.state.co.us</t>
  </si>
  <si>
    <t>ALLOCATION APPROVED</t>
  </si>
  <si>
    <t>DPS DBA Emily Griffith TC</t>
  </si>
  <si>
    <t>Mapleton 1</t>
  </si>
  <si>
    <t>Adams 12</t>
  </si>
  <si>
    <t>Westminster SD</t>
  </si>
  <si>
    <t>Englewood Sd</t>
  </si>
  <si>
    <t>Sheridan SD</t>
  </si>
  <si>
    <t>St. Vrain Valley SD</t>
  </si>
  <si>
    <t>Fountain 8</t>
  </si>
  <si>
    <t>Lake County SD</t>
  </si>
  <si>
    <t>Thompson SD</t>
  </si>
  <si>
    <t>Mesa 51</t>
  </si>
  <si>
    <t>Greeley 6</t>
  </si>
  <si>
    <t>CBOCES</t>
  </si>
  <si>
    <t>SLV BOCES</t>
  </si>
  <si>
    <t>Irving Elementary, Risley International Academy of Innovation</t>
  </si>
  <si>
    <t>North Park School                               Soroco MS-HS                                                             West Grand Elementary and MS                                   West Grand HS</t>
  </si>
  <si>
    <t>Steven Kaleda, (303) 866-6724, kaleda_s@cde.state.co.us</t>
  </si>
  <si>
    <t>Peak-Pennington Elementary</t>
  </si>
  <si>
    <t>Colorado Multi-Tiered Behavioral Framework: School Climate Grant</t>
  </si>
  <si>
    <t>269C</t>
  </si>
  <si>
    <t>6287</t>
  </si>
  <si>
    <t>22xF &amp; 22xG</t>
  </si>
  <si>
    <t>APPROVED CARRYOVER</t>
  </si>
  <si>
    <t>TOTAL AVAILABLE</t>
  </si>
  <si>
    <t xml:space="preserve">Match and Program Income </t>
  </si>
  <si>
    <t>MATCH REQUIREMENT</t>
  </si>
  <si>
    <t xml:space="preserve"> MATCH DECEMBER
2019</t>
  </si>
  <si>
    <t>PROGRAM INCOME DECEMBER 2019</t>
  </si>
  <si>
    <t>PROGRAM INCOME FEBRUARY 2019</t>
  </si>
  <si>
    <t>PROGRAM INCOME MARCH 2019</t>
  </si>
  <si>
    <t>PROGRAM INCOME APRIL 2019</t>
  </si>
  <si>
    <t>PROGRAM INCOME MAY 2019</t>
  </si>
  <si>
    <t>PROGRAM INCOME JUNE 2019</t>
  </si>
  <si>
    <t>PROGRAM INCOME JULY 2019</t>
  </si>
  <si>
    <t>MATCH AND PROGRAM INCOME</t>
  </si>
  <si>
    <t>MATCH JANUARY
2020</t>
  </si>
  <si>
    <t>MATCH FEBRUARY
2020</t>
  </si>
  <si>
    <t>MATCH MARCH
2020</t>
  </si>
  <si>
    <t>MATCH APRIL
2020</t>
  </si>
  <si>
    <t>MATCH MAY
2020</t>
  </si>
  <si>
    <t>MATCH JUNE
220</t>
  </si>
  <si>
    <t>MATCH JULY
2020</t>
  </si>
  <si>
    <t>MATCH AUGUST
2020</t>
  </si>
  <si>
    <t>MATCH SEPTEMBER
2020</t>
  </si>
  <si>
    <t>PROGRAM INCOME (PI) REQUIREMENT</t>
  </si>
  <si>
    <t>PI DECEMBER 2019</t>
  </si>
  <si>
    <t>REQUIRED MATCH BALANCE</t>
  </si>
  <si>
    <t>REQUIRED PI BALANCE</t>
  </si>
  <si>
    <t>Community College of Aurora</t>
  </si>
  <si>
    <t>TSJC</t>
  </si>
  <si>
    <t>Mesa County Public Library FDN</t>
  </si>
  <si>
    <t>Boys and Girls Club-Pueblo County</t>
  </si>
  <si>
    <t>Y074</t>
  </si>
  <si>
    <t>Colorado Volunteers in Juvenile &amp; Criminal Justice</t>
  </si>
  <si>
    <t>Tu Casa</t>
  </si>
  <si>
    <t>PI JANUARY 2019</t>
  </si>
  <si>
    <t>REQUIRED PI JANUARY 2019</t>
  </si>
  <si>
    <t>2199</t>
  </si>
  <si>
    <t>0493</t>
  </si>
  <si>
    <t>0188</t>
  </si>
  <si>
    <t>1371</t>
  </si>
  <si>
    <t>DECEMBER
2020</t>
  </si>
  <si>
    <t>Question regarding payments or grant:</t>
  </si>
  <si>
    <t>Questions regarding payments/grants:</t>
  </si>
  <si>
    <t>Question regarding payments/grant:</t>
  </si>
  <si>
    <t>319H</t>
  </si>
  <si>
    <t>Villa Bella Charter School</t>
  </si>
  <si>
    <t>Boys and Girls Club - Fremont</t>
  </si>
  <si>
    <t>Y076</t>
  </si>
  <si>
    <t>Y075</t>
  </si>
  <si>
    <t>Young Men's Christian Association of Metropolitan Denver, The</t>
  </si>
  <si>
    <t>2654</t>
  </si>
  <si>
    <t>Title V-B Charter School Grant Program 2020</t>
  </si>
  <si>
    <t>44xH</t>
  </si>
  <si>
    <t>0149</t>
  </si>
  <si>
    <t>Colorado Early Colleges Fort Collins West</t>
  </si>
  <si>
    <t>1387</t>
  </si>
  <si>
    <t>Colorado Early Colleges Windsor</t>
  </si>
  <si>
    <t>1005</t>
  </si>
  <si>
    <t>Ascent Classical Academy Northern Colorado</t>
  </si>
  <si>
    <t>0369</t>
  </si>
  <si>
    <t>Atlas Preparatory Middle School</t>
  </si>
  <si>
    <t>American Indian Academy of Denver</t>
  </si>
  <si>
    <t>3306</t>
  </si>
  <si>
    <t>Gardner Elementary School</t>
  </si>
  <si>
    <t>1080</t>
  </si>
  <si>
    <t>Lewis-Palmer School District No. 38</t>
  </si>
  <si>
    <t>5093</t>
  </si>
  <si>
    <t>Monument Charter Academy</t>
  </si>
  <si>
    <t>Colorado Multi-Tiered Behavioral Framework: Mini-Grant</t>
  </si>
  <si>
    <t>2020-21</t>
  </si>
  <si>
    <t>JANUARY
2021</t>
  </si>
  <si>
    <t>FEBRUARY
2021</t>
  </si>
  <si>
    <t>MARCH
2021</t>
  </si>
  <si>
    <t>APRIL
2021</t>
  </si>
  <si>
    <t>MAY
2021</t>
  </si>
  <si>
    <t>JUNE
2021</t>
  </si>
  <si>
    <t>JULY
2021</t>
  </si>
  <si>
    <t>AUGUST
2021</t>
  </si>
  <si>
    <t>SEPTEMBER
2021</t>
  </si>
  <si>
    <t>OCTOBER
2021</t>
  </si>
  <si>
    <t>NOVEMBER
2021</t>
  </si>
  <si>
    <t>FY20-21</t>
  </si>
  <si>
    <t>Grant Awardeed - October 1 through September 30th</t>
  </si>
  <si>
    <t>Patrick Mueller, (303) 866-6879, mueller_p@cde.state.co.us</t>
  </si>
  <si>
    <t>DECEMBER
2021</t>
  </si>
  <si>
    <t>Approved Carryover</t>
  </si>
  <si>
    <t>Total Available</t>
  </si>
  <si>
    <t>Metro State University</t>
  </si>
  <si>
    <t xml:space="preserve">Rangely Colledge DBA Colorado Northwestern Community College </t>
  </si>
  <si>
    <t>The Learning Source</t>
  </si>
  <si>
    <t xml:space="preserve">Rangely College dba Colorado Northwestern Community College </t>
  </si>
  <si>
    <t>Arriba-Flagler CSD #20</t>
  </si>
  <si>
    <t>3110</t>
  </si>
  <si>
    <t>Weld County School District RE-5J</t>
  </si>
  <si>
    <t>1030</t>
  </si>
  <si>
    <t>Manitou Springs School District 14</t>
  </si>
  <si>
    <t>1350</t>
  </si>
  <si>
    <t>East Grand School District #2 (Inc)</t>
  </si>
  <si>
    <t>2035</t>
  </si>
  <si>
    <t>Montezuma-Cortez Sch Dist RE 1</t>
  </si>
  <si>
    <t>2570</t>
  </si>
  <si>
    <t>Swink School District 33</t>
  </si>
  <si>
    <t>June
2021</t>
  </si>
  <si>
    <t>Grant Period:</t>
  </si>
  <si>
    <t>7/1/2020 - 09/30/2021</t>
  </si>
  <si>
    <r>
      <t>26</t>
    </r>
    <r>
      <rPr>
        <sz val="16"/>
        <color theme="1"/>
        <rFont val="Calibri"/>
        <family val="2"/>
        <scheme val="minor"/>
      </rPr>
      <t>0</t>
    </r>
    <r>
      <rPr>
        <b/>
        <sz val="16"/>
        <color theme="1"/>
        <rFont val="Calibri"/>
        <family val="2"/>
        <scheme val="minor"/>
      </rPr>
      <t>C</t>
    </r>
  </si>
  <si>
    <t>Matt Freeman, (303) 866-5692, freeman_m@cde.state.co.us</t>
  </si>
  <si>
    <t>Falcon 49</t>
  </si>
  <si>
    <t>Title V-B Charter School Grant Program Remote Learning Grant</t>
  </si>
  <si>
    <t>Joint School District No. 28-J of the Counties of Adams and Arapahoe (formerly Aurora Public Schools)</t>
  </si>
  <si>
    <t>0220</t>
  </si>
  <si>
    <t>Archuleta School Dist 50 Joint</t>
  </si>
  <si>
    <t>0540</t>
  </si>
  <si>
    <t>Clear Creek School District #RE1</t>
  </si>
  <si>
    <t>1020</t>
  </si>
  <si>
    <t>El Paso County School District 12</t>
  </si>
  <si>
    <t>2690</t>
  </si>
  <si>
    <t>Pueblo School District No. 60</t>
  </si>
  <si>
    <t>0126</t>
  </si>
  <si>
    <t>9053</t>
  </si>
  <si>
    <t>6679</t>
  </si>
  <si>
    <t>0934</t>
  </si>
  <si>
    <t>3385</t>
  </si>
  <si>
    <t>1561</t>
  </si>
  <si>
    <t>1748</t>
  </si>
  <si>
    <t>1939</t>
  </si>
  <si>
    <t>4494</t>
  </si>
  <si>
    <t>2175</t>
  </si>
  <si>
    <t>2223</t>
  </si>
  <si>
    <t>2244</t>
  </si>
  <si>
    <t>4381</t>
  </si>
  <si>
    <t>2181</t>
  </si>
  <si>
    <t>2116</t>
  </si>
  <si>
    <t>3540</t>
  </si>
  <si>
    <t>4049</t>
  </si>
  <si>
    <t>3987</t>
  </si>
  <si>
    <t>7361</t>
  </si>
  <si>
    <t>7471</t>
  </si>
  <si>
    <t>8053</t>
  </si>
  <si>
    <t>8085</t>
  </si>
  <si>
    <t>9390</t>
  </si>
  <si>
    <t>9735</t>
  </si>
  <si>
    <t>9639</t>
  </si>
  <si>
    <t>9336</t>
  </si>
  <si>
    <t>9389</t>
  </si>
  <si>
    <t>9739</t>
  </si>
  <si>
    <t>9397</t>
  </si>
  <si>
    <t>0469</t>
  </si>
  <si>
    <t>9057</t>
  </si>
  <si>
    <t>9051</t>
  </si>
  <si>
    <t>1582</t>
  </si>
  <si>
    <t>2189</t>
  </si>
  <si>
    <t>3691</t>
  </si>
  <si>
    <t>4402</t>
  </si>
  <si>
    <t>4410</t>
  </si>
  <si>
    <t>7462</t>
  </si>
  <si>
    <t>4384</t>
  </si>
  <si>
    <t>5917</t>
  </si>
  <si>
    <t>6718</t>
  </si>
  <si>
    <t>6775</t>
  </si>
  <si>
    <t>8467</t>
  </si>
  <si>
    <t>1633</t>
  </si>
  <si>
    <t>1505</t>
  </si>
  <si>
    <t>1882</t>
  </si>
  <si>
    <t>5431</t>
  </si>
  <si>
    <t>2837</t>
  </si>
  <si>
    <t>5147</t>
  </si>
  <si>
    <t>5423</t>
  </si>
  <si>
    <t>6219</t>
  </si>
  <si>
    <t>6266</t>
  </si>
  <si>
    <t>7278</t>
  </si>
  <si>
    <t>9037</t>
  </si>
  <si>
    <t>9040</t>
  </si>
  <si>
    <t>New America School - Thornton</t>
  </si>
  <si>
    <t>Academy Of Advanced Learning</t>
  </si>
  <si>
    <t>Pagosa Peak Open School</t>
  </si>
  <si>
    <t>Boulder Prep Charter High School</t>
  </si>
  <si>
    <t>Georgetown Community School</t>
  </si>
  <si>
    <t>Colorado High School Charter</t>
  </si>
  <si>
    <t>Compass Academy</t>
  </si>
  <si>
    <t>Denver Justice High School</t>
  </si>
  <si>
    <t>DSST: Cole High School</t>
  </si>
  <si>
    <t>DSST: Cole Middle School</t>
  </si>
  <si>
    <t>DSST: College View High School</t>
  </si>
  <si>
    <t>DSST: College View Middle School</t>
  </si>
  <si>
    <t>DSST: Green Valley Ranch Middle School</t>
  </si>
  <si>
    <t>DSST: Henry Middle School</t>
  </si>
  <si>
    <t>Girls Athletic Leadership School High School</t>
  </si>
  <si>
    <t>Highline Academy Northeast</t>
  </si>
  <si>
    <t>Highline Academy Southeast</t>
  </si>
  <si>
    <t>Riseup Community School</t>
  </si>
  <si>
    <t>Soar At Green Valley Ranch</t>
  </si>
  <si>
    <t>Strive Prep - Federal</t>
  </si>
  <si>
    <t>Strive Prep - Lake</t>
  </si>
  <si>
    <t>Strive Prep - Montbello</t>
  </si>
  <si>
    <t>Strive Prep - Smart Academy</t>
  </si>
  <si>
    <t>Strive Prep - Sunnyside</t>
  </si>
  <si>
    <t>Strive Prep - Westwood</t>
  </si>
  <si>
    <t>World  Compass Academy</t>
  </si>
  <si>
    <t>Atlas Preparatory High School</t>
  </si>
  <si>
    <t>The Vanguard School (High)</t>
  </si>
  <si>
    <t>The Vanguard School (Middle)</t>
  </si>
  <si>
    <t>The Vanguard School (Elementary)</t>
  </si>
  <si>
    <t>Doral Academy Of Colorado</t>
  </si>
  <si>
    <t>Great Work Montessori</t>
  </si>
  <si>
    <t>Jefferson Academy</t>
  </si>
  <si>
    <t>Jefferson Academy Elementary</t>
  </si>
  <si>
    <t>Jefferson Academy High School</t>
  </si>
  <si>
    <t>New America School</t>
  </si>
  <si>
    <t>Rocky Mountain Academy Of Evergreen</t>
  </si>
  <si>
    <t>The Juniper School</t>
  </si>
  <si>
    <t>Mountain Sage Community School</t>
  </si>
  <si>
    <t>Paradox Valley Charter School</t>
  </si>
  <si>
    <t>Pueblo Sch. For Arts &amp; Sciences At Fulton Heights</t>
  </si>
  <si>
    <t>Salida Del Sol Academy</t>
  </si>
  <si>
    <t>Colorado Early Colleges Aurora</t>
  </si>
  <si>
    <t>Colorado Military Academy</t>
  </si>
  <si>
    <t>Community Leadership Academy</t>
  </si>
  <si>
    <t>Coperni 2</t>
  </si>
  <si>
    <t>Early College Of Arvada</t>
  </si>
  <si>
    <t>Launch High School</t>
  </si>
  <si>
    <t>Mountain Village Montessori Charter School</t>
  </si>
  <si>
    <t>New America School - Lowry</t>
  </si>
  <si>
    <t>New Legacy Charter School</t>
  </si>
  <si>
    <t>Ricardo Flores Magon Academy</t>
  </si>
  <si>
    <t>The Pinnacle Charter School</t>
  </si>
  <si>
    <t>Victory Preparatory Academy High State Charter School</t>
  </si>
  <si>
    <t>Victory Preparatory Academy Middle State Charter School</t>
  </si>
  <si>
    <t>Colo High School Charter - GES</t>
  </si>
  <si>
    <t>FY 1920 CARRYOVER</t>
  </si>
  <si>
    <t>Littleton Public School</t>
  </si>
  <si>
    <t>Project Aware</t>
  </si>
  <si>
    <t>651D</t>
  </si>
  <si>
    <t>FUNDING PERIOD:</t>
  </si>
  <si>
    <t>September 30, 2020 - September 30, 2021</t>
  </si>
  <si>
    <t>Archuleta 50 JT SD</t>
  </si>
  <si>
    <t>Colorado Springs 11</t>
  </si>
  <si>
    <t>Ignacio SD 11JT</t>
  </si>
  <si>
    <t>447R</t>
  </si>
  <si>
    <t>447C</t>
  </si>
  <si>
    <t>611D</t>
  </si>
  <si>
    <t>610D</t>
  </si>
  <si>
    <t>7233</t>
  </si>
  <si>
    <t>1345</t>
  </si>
  <si>
    <t>Rocky Mountain Prep: Creekside ADD</t>
  </si>
  <si>
    <t>Rocky Mountain Prep: Berkeley ADD</t>
  </si>
  <si>
    <t>Rocky Mountain Prep: Southwest CHANGE AMT</t>
  </si>
  <si>
    <t>Rocky Mountain Prep Fletcher ADD</t>
  </si>
  <si>
    <t>3578</t>
  </si>
  <si>
    <t>1652</t>
  </si>
  <si>
    <t>2918</t>
  </si>
  <si>
    <t>Robert Hawkins: hawkins_r@cde.state.co.us</t>
  </si>
  <si>
    <t>GFRFF@cde.state.co.us</t>
  </si>
  <si>
    <t>Y221</t>
  </si>
  <si>
    <t>yes</t>
  </si>
  <si>
    <t>Bella Romero Academy of Applied Technology</t>
  </si>
  <si>
    <t>6400</t>
  </si>
  <si>
    <t>The STEAD School</t>
  </si>
  <si>
    <t>Brighton Schools 27J</t>
  </si>
  <si>
    <t>Pioneer Technology and Arts Academy</t>
  </si>
  <si>
    <t>1275</t>
  </si>
  <si>
    <t>1795</t>
  </si>
  <si>
    <t>1995</t>
  </si>
  <si>
    <t>5313</t>
  </si>
  <si>
    <t>French American School of Denver</t>
  </si>
  <si>
    <t>Colorado Early Colleges Colorado Springs Middle School</t>
  </si>
  <si>
    <t>Kwiyagat Community School</t>
  </si>
  <si>
    <t>WeldCo RE-5J (Johnstown-Milliken)</t>
  </si>
  <si>
    <t>CIVICA Colorado</t>
  </si>
  <si>
    <t>6226</t>
  </si>
  <si>
    <t xml:space="preserve">Title V -SRAE </t>
  </si>
  <si>
    <t>CARRYOVER FROM 1920</t>
  </si>
  <si>
    <t>6237</t>
  </si>
  <si>
    <t>1,862,163.52</t>
  </si>
  <si>
    <t>not in database yet CDE110 6048</t>
  </si>
  <si>
    <t>U282A150018-16</t>
  </si>
  <si>
    <t>School</t>
  </si>
  <si>
    <t>Remote Learning</t>
  </si>
  <si>
    <t>FY2021</t>
  </si>
  <si>
    <t>4404</t>
  </si>
  <si>
    <t>2994</t>
  </si>
  <si>
    <t>Allocation</t>
  </si>
  <si>
    <t>Carryover</t>
  </si>
  <si>
    <t>Award</t>
  </si>
  <si>
    <t>FAIN</t>
  </si>
  <si>
    <t>Input_No</t>
  </si>
  <si>
    <t>Input_Type</t>
  </si>
  <si>
    <t>Short_Grant_Name</t>
  </si>
  <si>
    <t>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</si>
</sst>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.00_);_(&quot;$&quot;* \(\ #,##0.00\ \);_(&quot;$&quot;* &quot;-&quot;??_);_(\ @_ \)"/>
    <numFmt numFmtId="167" formatCode="_(* #,##0.00_);_(* \(\ #,##0.00\ \);_(* &quot;-&quot;??_);_(\ @_ \)"/>
    <numFmt numFmtId="168" formatCode="_(&quot;$&quot;* #,##0_);_(&quot;$&quot;* \(#,##0\);_(&quot;$&quot;* &quot;-&quot;??_);_(@_)"/>
    <numFmt numFmtId="169" formatCode="_(* #,##0.00_);_(* \(#,##0.00\);_(* &quot;-&quot;_);_(@_)"/>
    <numFmt numFmtId="170" formatCode="&quot;$&quot;#,##0"/>
  </numFmts>
  <fonts count="7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icrosoft Sans Serif"/>
      <family val="2"/>
    </font>
    <font>
      <sz val="10"/>
      <name val="Microsoft Sans Serif"/>
      <family val="2"/>
    </font>
    <font>
      <sz val="10"/>
      <color indexed="8"/>
      <name val="Arial"/>
      <family val="2"/>
    </font>
    <font>
      <sz val="12"/>
      <name val="Helv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ourier"/>
      <family val="3"/>
    </font>
    <font>
      <sz val="8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1454817346722"/>
      </left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rgb="FFC4D79B"/>
      </right>
      <top style="medium">
        <color indexed="64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indexed="64"/>
      </top>
      <bottom style="medium">
        <color rgb="FFC4D79B"/>
      </bottom>
      <diagonal/>
    </border>
    <border>
      <left/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theme="6" tint="0.39994506668294322"/>
      </right>
      <top style="medium">
        <color rgb="FFC4D79B"/>
      </top>
      <bottom style="medium">
        <color theme="6" tint="0.399914548173467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6" tint="0.39991454817346722"/>
      </bottom>
      <diagonal/>
    </border>
    <border>
      <left/>
      <right style="medium">
        <color rgb="FFC4D79B"/>
      </right>
      <top/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/>
      <bottom style="medium">
        <color rgb="FFC4D79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theme="6" tint="0.39994506668294322"/>
      </left>
      <right/>
      <top style="medium">
        <color indexed="64"/>
      </top>
      <bottom/>
      <diagonal/>
    </border>
    <border>
      <left/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C4D79B"/>
      </top>
      <bottom style="medium">
        <color theme="6" tint="0.399914548173467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/>
      <top/>
      <bottom style="medium">
        <color rgb="FFC4D79B"/>
      </bottom>
      <diagonal/>
    </border>
    <border>
      <left style="double">
        <color indexed="64"/>
      </left>
      <right style="thin">
        <color rgb="FFC4D79B"/>
      </right>
      <top style="thin">
        <color rgb="FFC4D79B"/>
      </top>
      <bottom style="thin">
        <color rgb="FFC4D79B"/>
      </bottom>
      <diagonal/>
    </border>
    <border>
      <left style="thin">
        <color rgb="FFC4D79B"/>
      </left>
      <right style="thin">
        <color rgb="FFC4D79B"/>
      </right>
      <top style="thin">
        <color rgb="FFC4D79B"/>
      </top>
      <bottom style="thin">
        <color rgb="FFC4D79B"/>
      </bottom>
      <diagonal/>
    </border>
    <border>
      <left/>
      <right/>
      <top style="medium">
        <color theme="6" tint="0.39991454817346722"/>
      </top>
      <bottom style="medium">
        <color theme="6" tint="0.3999145481734672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6" tint="0.39991454817346722"/>
      </left>
      <right/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 style="thin">
        <color theme="6" tint="0.39988402966399123"/>
      </left>
      <right style="thin">
        <color theme="6" tint="0.39988402966399123"/>
      </right>
      <top style="thin">
        <color theme="6" tint="0.39988402966399123"/>
      </top>
      <bottom style="thin">
        <color theme="6" tint="0.3998840296639912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indexed="64"/>
      </left>
      <right style="thin">
        <color rgb="FFC4D79B"/>
      </right>
      <top/>
      <bottom style="thin">
        <color rgb="FFC4D79B"/>
      </bottom>
      <diagonal/>
    </border>
    <border>
      <left style="thin">
        <color rgb="FFC4D79B"/>
      </left>
      <right style="thin">
        <color rgb="FFC4D79B"/>
      </right>
      <top/>
      <bottom style="thin">
        <color rgb="FFC4D79B"/>
      </bottom>
      <diagonal/>
    </border>
    <border>
      <left style="medium">
        <color rgb="FFC4D79B"/>
      </left>
      <right/>
      <top style="medium">
        <color rgb="FFC4D79B"/>
      </top>
      <bottom style="medium">
        <color rgb="FFC4D79B"/>
      </bottom>
      <diagonal/>
    </border>
    <border>
      <left style="thin">
        <color rgb="FFC3E6BA"/>
      </left>
      <right style="thin">
        <color rgb="FFC3E6BA"/>
      </right>
      <top style="thin">
        <color rgb="FFC3E6BA"/>
      </top>
      <bottom style="thin">
        <color rgb="FFC3E6BA"/>
      </bottom>
      <diagonal/>
    </border>
    <border>
      <left style="thin">
        <color rgb="FFC3E6BA"/>
      </left>
      <right style="thin">
        <color rgb="FFC3E6BA"/>
      </right>
      <top/>
      <bottom style="thin">
        <color rgb="FFC3E6BA"/>
      </bottom>
      <diagonal/>
    </border>
    <border>
      <left style="medium">
        <color rgb="FFC4D79B"/>
      </left>
      <right style="medium">
        <color rgb="FFC4D79B"/>
      </right>
      <top/>
      <bottom/>
      <diagonal/>
    </border>
    <border>
      <left style="medium">
        <color rgb="FFC4D79B"/>
      </left>
      <right style="medium">
        <color theme="6" tint="0.399945066682943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C4D79B"/>
      </right>
      <top/>
      <bottom style="thin">
        <color rgb="FFC4D79B"/>
      </bottom>
      <diagonal/>
    </border>
    <border>
      <left/>
      <right style="thin">
        <color rgb="FFC4D79B"/>
      </right>
      <top style="thin">
        <color rgb="FFC4D79B"/>
      </top>
      <bottom style="thin">
        <color rgb="FFC4D79B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/>
      <diagonal/>
    </border>
    <border>
      <left style="medium">
        <color rgb="FFC4D79B"/>
      </left>
      <right/>
      <top/>
      <bottom/>
      <diagonal/>
    </border>
    <border>
      <left style="medium">
        <color rgb="FFC4D79B"/>
      </left>
      <right/>
      <top style="medium">
        <color rgb="FFC4D79B"/>
      </top>
      <bottom style="medium">
        <color theme="6" tint="0.39991454817346722"/>
      </bottom>
      <diagonal/>
    </border>
    <border>
      <left/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1454817346722"/>
      </left>
      <right style="medium">
        <color theme="6" tint="0.39991454817346722"/>
      </right>
      <top/>
      <bottom style="medium">
        <color theme="6" tint="0.39991454817346722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82">
    <xf numFmtId="0" fontId="0" fillId="0" borderId="0"/>
    <xf numFmtId="43" fontId="13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0" fontId="15" fillId="0" borderId="0"/>
    <xf numFmtId="44" fontId="14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4" fillId="0" borderId="0"/>
    <xf numFmtId="0" fontId="3" fillId="0" borderId="0"/>
    <xf numFmtId="43" fontId="12" fillId="0" borderId="0" applyFont="0" applyFill="0" applyBorder="0" applyAlignment="0" applyProtection="0"/>
    <xf numFmtId="0" fontId="14" fillId="0" borderId="0"/>
    <xf numFmtId="0" fontId="2" fillId="0" borderId="0"/>
    <xf numFmtId="9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4" borderId="17" applyNumberFormat="0" applyAlignment="0" applyProtection="0"/>
    <xf numFmtId="0" fontId="25" fillId="18" borderId="18" applyNumberFormat="0" applyAlignment="0" applyProtection="0"/>
    <xf numFmtId="44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17" applyNumberFormat="0" applyAlignment="0" applyProtection="0"/>
    <xf numFmtId="0" fontId="32" fillId="0" borderId="22" applyNumberFormat="0" applyFill="0" applyAlignment="0" applyProtection="0"/>
    <xf numFmtId="0" fontId="33" fillId="10" borderId="0" applyNumberFormat="0" applyBorder="0" applyAlignment="0" applyProtection="0"/>
    <xf numFmtId="0" fontId="2" fillId="0" borderId="0"/>
    <xf numFmtId="0" fontId="21" fillId="6" borderId="23" applyNumberFormat="0" applyFont="0" applyAlignment="0" applyProtection="0"/>
    <xf numFmtId="0" fontId="34" fillId="4" borderId="24" applyNumberFormat="0" applyAlignment="0" applyProtection="0"/>
    <xf numFmtId="0" fontId="35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0" fontId="12" fillId="0" borderId="0"/>
    <xf numFmtId="0" fontId="38" fillId="0" borderId="0"/>
    <xf numFmtId="167" fontId="38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9" fillId="0" borderId="0"/>
    <xf numFmtId="0" fontId="14" fillId="0" borderId="0"/>
    <xf numFmtId="5" fontId="41" fillId="0" borderId="0"/>
    <xf numFmtId="0" fontId="39" fillId="0" borderId="0"/>
    <xf numFmtId="0" fontId="2" fillId="0" borderId="0" applyFill="0"/>
    <xf numFmtId="0" fontId="40" fillId="0" borderId="0"/>
    <xf numFmtId="5" fontId="41" fillId="0" borderId="0"/>
    <xf numFmtId="0" fontId="3" fillId="0" borderId="0"/>
    <xf numFmtId="0" fontId="14" fillId="4" borderId="0"/>
    <xf numFmtId="0" fontId="12" fillId="0" borderId="0"/>
    <xf numFmtId="0" fontId="14" fillId="0" borderId="0"/>
    <xf numFmtId="0" fontId="2" fillId="0" borderId="0"/>
    <xf numFmtId="0" fontId="42" fillId="0" borderId="0"/>
    <xf numFmtId="43" fontId="42" fillId="0" borderId="0" applyFont="0" applyFill="0" applyBorder="0" applyAlignment="0" applyProtection="0"/>
    <xf numFmtId="0" fontId="38" fillId="0" borderId="0"/>
    <xf numFmtId="0" fontId="3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/>
    <xf numFmtId="0" fontId="45" fillId="0" borderId="0"/>
    <xf numFmtId="9" fontId="45" fillId="0" borderId="0" applyFont="0" applyFill="0" applyBorder="0" applyAlignment="0" applyProtection="0"/>
    <xf numFmtId="0" fontId="3" fillId="0" borderId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46" fillId="0" borderId="0"/>
    <xf numFmtId="0" fontId="46" fillId="0" borderId="0"/>
    <xf numFmtId="0" fontId="45" fillId="0" borderId="0"/>
    <xf numFmtId="9" fontId="45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44" fontId="3" fillId="0" borderId="0" applyFont="0" applyFill="0" applyBorder="0" applyAlignment="0" applyProtection="0"/>
    <xf numFmtId="44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0" borderId="0"/>
    <xf numFmtId="0" fontId="14" fillId="4" borderId="0"/>
    <xf numFmtId="0" fontId="49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1" applyNumberFormat="0" applyFill="0" applyAlignment="0" applyProtection="0"/>
    <xf numFmtId="0" fontId="52" fillId="0" borderId="32" applyNumberFormat="0" applyFill="0" applyAlignment="0" applyProtection="0"/>
    <xf numFmtId="0" fontId="53" fillId="0" borderId="3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34" applyNumberFormat="0" applyAlignment="0" applyProtection="0"/>
    <xf numFmtId="0" fontId="58" fillId="24" borderId="35" applyNumberFormat="0" applyAlignment="0" applyProtection="0"/>
    <xf numFmtId="0" fontId="59" fillId="24" borderId="34" applyNumberFormat="0" applyAlignment="0" applyProtection="0"/>
    <xf numFmtId="0" fontId="60" fillId="0" borderId="36" applyNumberFormat="0" applyFill="0" applyAlignment="0" applyProtection="0"/>
    <xf numFmtId="0" fontId="61" fillId="25" borderId="37" applyNumberFormat="0" applyAlignment="0" applyProtection="0"/>
    <xf numFmtId="0" fontId="62" fillId="0" borderId="0" applyNumberFormat="0" applyFill="0" applyBorder="0" applyAlignment="0" applyProtection="0"/>
    <xf numFmtId="0" fontId="3" fillId="26" borderId="38" applyNumberFormat="0" applyFont="0" applyAlignment="0" applyProtection="0"/>
    <xf numFmtId="0" fontId="63" fillId="0" borderId="0" applyNumberFormat="0" applyFill="0" applyBorder="0" applyAlignment="0" applyProtection="0"/>
    <xf numFmtId="0" fontId="4" fillId="0" borderId="39" applyNumberFormat="0" applyFill="0" applyAlignment="0" applyProtection="0"/>
    <xf numFmtId="0" fontId="6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64" fillId="50" borderId="0" applyNumberFormat="0" applyBorder="0" applyAlignment="0" applyProtection="0"/>
    <xf numFmtId="0" fontId="40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2" fillId="0" borderId="0"/>
    <xf numFmtId="0" fontId="1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vertical="top"/>
    </xf>
    <xf numFmtId="4" fontId="2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5" fontId="41" fillId="0" borderId="0"/>
    <xf numFmtId="0" fontId="14" fillId="0" borderId="0"/>
    <xf numFmtId="0" fontId="3" fillId="0" borderId="0"/>
    <xf numFmtId="5" fontId="41" fillId="0" borderId="0"/>
    <xf numFmtId="0" fontId="40" fillId="0" borderId="0"/>
    <xf numFmtId="0" fontId="14" fillId="4" borderId="0"/>
    <xf numFmtId="0" fontId="40" fillId="0" borderId="0"/>
    <xf numFmtId="0" fontId="66" fillId="4" borderId="0"/>
    <xf numFmtId="0" fontId="66" fillId="4" borderId="0"/>
    <xf numFmtId="0" fontId="3" fillId="0" borderId="0"/>
    <xf numFmtId="0" fontId="66" fillId="4" borderId="0"/>
    <xf numFmtId="0" fontId="40" fillId="0" borderId="0"/>
    <xf numFmtId="0" fontId="67" fillId="0" borderId="40">
      <alignment vertical="center"/>
    </xf>
    <xf numFmtId="0" fontId="68" fillId="0" borderId="40" applyNumberFormat="0" applyFont="0" applyFill="0" applyBorder="0" applyAlignment="0" applyProtection="0">
      <alignment vertical="center"/>
    </xf>
  </cellStyleXfs>
  <cellXfs count="445">
    <xf numFmtId="0" fontId="0" fillId="0" borderId="0" xfId="0"/>
    <xf numFmtId="3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/>
    <xf numFmtId="0" fontId="8" fillId="0" borderId="0" xfId="0" applyFont="1" applyFill="1"/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center"/>
    </xf>
    <xf numFmtId="4" fontId="0" fillId="0" borderId="0" xfId="0" applyNumberFormat="1" applyFill="1"/>
    <xf numFmtId="4" fontId="0" fillId="0" borderId="0" xfId="0" applyNumberFormat="1" applyFill="1" applyAlignment="1">
      <alignment wrapText="1"/>
    </xf>
    <xf numFmtId="0" fontId="1" fillId="0" borderId="0" xfId="0" applyFont="1" applyFill="1" applyAlignment="1">
      <alignment horizontal="left"/>
    </xf>
    <xf numFmtId="0" fontId="4" fillId="2" borderId="0" xfId="0" applyFont="1" applyFill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/>
    <xf numFmtId="0" fontId="8" fillId="2" borderId="0" xfId="0" applyFont="1" applyFill="1" applyAlignment="1">
      <alignment horizont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11" fillId="2" borderId="0" xfId="0" applyFont="1" applyFill="1"/>
    <xf numFmtId="0" fontId="6" fillId="2" borderId="0" xfId="0" applyFont="1" applyFill="1"/>
    <xf numFmtId="0" fontId="4" fillId="2" borderId="9" xfId="0" applyFont="1" applyFill="1" applyBorder="1"/>
    <xf numFmtId="0" fontId="0" fillId="0" borderId="0" xfId="0" applyFont="1"/>
    <xf numFmtId="3" fontId="17" fillId="2" borderId="7" xfId="0" applyNumberFormat="1" applyFont="1" applyFill="1" applyBorder="1" applyAlignment="1">
      <alignment horizontal="left"/>
    </xf>
    <xf numFmtId="38" fontId="0" fillId="0" borderId="0" xfId="0" applyNumberFormat="1" applyFill="1"/>
    <xf numFmtId="0" fontId="4" fillId="0" borderId="0" xfId="0" applyFont="1" applyFill="1"/>
    <xf numFmtId="0" fontId="4" fillId="3" borderId="4" xfId="0" applyFont="1" applyFill="1" applyBorder="1" applyAlignment="1">
      <alignment horizontal="center" wrapText="1"/>
    </xf>
    <xf numFmtId="17" fontId="4" fillId="0" borderId="3" xfId="0" quotePrefix="1" applyNumberFormat="1" applyFont="1" applyFill="1" applyBorder="1" applyAlignment="1">
      <alignment horizontal="center" vertical="center" wrapText="1"/>
    </xf>
    <xf numFmtId="17" fontId="4" fillId="0" borderId="1" xfId="0" quotePrefix="1" applyNumberFormat="1" applyFont="1" applyFill="1" applyBorder="1" applyAlignment="1">
      <alignment horizontal="center" vertical="center" wrapText="1"/>
    </xf>
    <xf numFmtId="4" fontId="0" fillId="2" borderId="7" xfId="0" applyNumberFormat="1" applyFill="1" applyBorder="1"/>
    <xf numFmtId="0" fontId="4" fillId="3" borderId="1" xfId="0" applyFont="1" applyFill="1" applyBorder="1" applyAlignment="1">
      <alignment horizontal="center" wrapText="1"/>
    </xf>
    <xf numFmtId="3" fontId="0" fillId="0" borderId="0" xfId="0" applyNumberFormat="1"/>
    <xf numFmtId="0" fontId="0" fillId="0" borderId="0" xfId="0" applyFill="1" applyAlignment="1">
      <alignment horizontal="right"/>
    </xf>
    <xf numFmtId="0" fontId="7" fillId="2" borderId="0" xfId="0" applyNumberFormat="1" applyFont="1" applyFill="1"/>
    <xf numFmtId="0" fontId="9" fillId="2" borderId="0" xfId="0" applyNumberFormat="1" applyFont="1" applyFill="1"/>
    <xf numFmtId="0" fontId="4" fillId="0" borderId="2" xfId="0" applyNumberFormat="1" applyFont="1" applyFill="1" applyBorder="1" applyAlignment="1">
      <alignment horizontal="center" wrapText="1"/>
    </xf>
    <xf numFmtId="0" fontId="0" fillId="0" borderId="0" xfId="0" applyNumberFormat="1" applyFill="1" applyBorder="1"/>
    <xf numFmtId="0" fontId="0" fillId="0" borderId="0" xfId="0" applyNumberFormat="1"/>
    <xf numFmtId="3" fontId="0" fillId="0" borderId="0" xfId="0" applyNumberFormat="1" applyAlignment="1">
      <alignment vertical="top"/>
    </xf>
    <xf numFmtId="0" fontId="0" fillId="0" borderId="0" xfId="0" applyAlignment="1">
      <alignment wrapText="1"/>
    </xf>
    <xf numFmtId="2" fontId="9" fillId="2" borderId="0" xfId="0" quotePrefix="1" applyNumberFormat="1" applyFont="1" applyFill="1" applyAlignment="1">
      <alignment horizontal="left"/>
    </xf>
    <xf numFmtId="0" fontId="4" fillId="0" borderId="29" xfId="0" applyFont="1" applyFill="1" applyBorder="1" applyAlignment="1">
      <alignment horizontal="center" wrapText="1"/>
    </xf>
    <xf numFmtId="3" fontId="4" fillId="2" borderId="7" xfId="0" applyNumberFormat="1" applyFont="1" applyFill="1" applyBorder="1" applyAlignment="1">
      <alignment horizontal="center" vertical="center"/>
    </xf>
    <xf numFmtId="0" fontId="4" fillId="2" borderId="13" xfId="0" applyFont="1" applyFill="1" applyBorder="1"/>
    <xf numFmtId="3" fontId="4" fillId="2" borderId="7" xfId="0" applyNumberFormat="1" applyFont="1" applyFill="1" applyBorder="1" applyAlignment="1">
      <alignment vertical="top"/>
    </xf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wrapText="1"/>
    </xf>
    <xf numFmtId="17" fontId="4" fillId="0" borderId="1" xfId="0" quotePrefix="1" applyNumberFormat="1" applyFont="1" applyFill="1" applyBorder="1" applyAlignment="1">
      <alignment horizontal="center" wrapText="1"/>
    </xf>
    <xf numFmtId="0" fontId="10" fillId="2" borderId="0" xfId="0" applyFont="1" applyFill="1"/>
    <xf numFmtId="17" fontId="4" fillId="0" borderId="1" xfId="0" applyNumberFormat="1" applyFont="1" applyFill="1" applyBorder="1" applyAlignment="1">
      <alignment horizontal="center" wrapText="1"/>
    </xf>
    <xf numFmtId="3" fontId="4" fillId="2" borderId="7" xfId="0" applyNumberFormat="1" applyFont="1" applyFill="1" applyBorder="1"/>
    <xf numFmtId="17" fontId="4" fillId="0" borderId="3" xfId="0" quotePrefix="1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vertical="top" wrapText="1"/>
    </xf>
    <xf numFmtId="49" fontId="7" fillId="2" borderId="0" xfId="0" applyNumberFormat="1" applyFont="1" applyFill="1"/>
    <xf numFmtId="49" fontId="9" fillId="2" borderId="0" xfId="0" applyNumberFormat="1" applyFont="1" applyFill="1"/>
    <xf numFmtId="49" fontId="4" fillId="2" borderId="7" xfId="0" applyNumberFormat="1" applyFont="1" applyFill="1" applyBorder="1" applyAlignment="1">
      <alignment vertical="top"/>
    </xf>
    <xf numFmtId="49" fontId="0" fillId="0" borderId="0" xfId="0" applyNumberFormat="1"/>
    <xf numFmtId="49" fontId="7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/>
    </xf>
    <xf numFmtId="43" fontId="0" fillId="0" borderId="0" xfId="0" applyNumberFormat="1"/>
    <xf numFmtId="0" fontId="5" fillId="2" borderId="13" xfId="0" applyFont="1" applyFill="1" applyBorder="1" applyAlignment="1">
      <alignment horizontal="left" vertical="center" wrapText="1"/>
    </xf>
    <xf numFmtId="49" fontId="0" fillId="2" borderId="12" xfId="0" applyNumberFormat="1" applyFill="1" applyBorder="1" applyAlignment="1">
      <alignment horizontal="center" vertical="center"/>
    </xf>
    <xf numFmtId="41" fontId="17" fillId="2" borderId="13" xfId="0" applyNumberFormat="1" applyFont="1" applyFill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1" fontId="4" fillId="2" borderId="13" xfId="0" applyNumberFormat="1" applyFont="1" applyFill="1" applyBorder="1" applyAlignment="1">
      <alignment horizontal="right" vertical="center"/>
    </xf>
    <xf numFmtId="41" fontId="0" fillId="0" borderId="0" xfId="24" applyNumberFormat="1" applyFont="1" applyAlignment="1">
      <alignment horizontal="right" vertical="center"/>
    </xf>
    <xf numFmtId="41" fontId="0" fillId="0" borderId="0" xfId="24" applyNumberFormat="1" applyFont="1" applyFill="1" applyAlignment="1">
      <alignment horizontal="right" vertical="center"/>
    </xf>
    <xf numFmtId="49" fontId="0" fillId="2" borderId="13" xfId="0" applyNumberFormat="1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41" fontId="4" fillId="2" borderId="13" xfId="24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5" fillId="2" borderId="6" xfId="0" quotePrefix="1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vertical="center" wrapText="1"/>
    </xf>
    <xf numFmtId="41" fontId="0" fillId="2" borderId="7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5" fillId="2" borderId="8" xfId="0" applyNumberFormat="1" applyFont="1" applyFill="1" applyBorder="1" applyAlignment="1">
      <alignment horizontal="right" vertical="center"/>
    </xf>
    <xf numFmtId="0" fontId="17" fillId="2" borderId="6" xfId="0" quotePrefix="1" applyNumberFormat="1" applyFont="1" applyFill="1" applyBorder="1" applyAlignment="1">
      <alignment horizontal="center" vertical="center"/>
    </xf>
    <xf numFmtId="41" fontId="4" fillId="2" borderId="7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/>
    <xf numFmtId="0" fontId="0" fillId="0" borderId="0" xfId="0" applyFill="1" applyBorder="1" applyAlignment="1"/>
    <xf numFmtId="3" fontId="0" fillId="0" borderId="0" xfId="0" applyNumberFormat="1" applyAlignment="1"/>
    <xf numFmtId="0" fontId="0" fillId="0" borderId="0" xfId="0" applyAlignment="1"/>
    <xf numFmtId="49" fontId="0" fillId="2" borderId="7" xfId="0" quotePrefix="1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left" vertical="center" wrapText="1"/>
    </xf>
    <xf numFmtId="41" fontId="0" fillId="2" borderId="7" xfId="0" applyNumberForma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7" xfId="0" quotePrefix="1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0" fontId="9" fillId="2" borderId="0" xfId="0" quotePrefix="1" applyFont="1" applyFill="1"/>
    <xf numFmtId="41" fontId="5" fillId="2" borderId="7" xfId="0" applyNumberFormat="1" applyFont="1" applyFill="1" applyBorder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9" fontId="4" fillId="2" borderId="7" xfId="0" applyNumberFormat="1" applyFont="1" applyFill="1" applyBorder="1" applyAlignment="1">
      <alignment horizontal="right" vertical="center"/>
    </xf>
    <xf numFmtId="41" fontId="0" fillId="2" borderId="7" xfId="24" applyNumberFormat="1" applyFont="1" applyFill="1" applyBorder="1" applyAlignment="1">
      <alignment horizontal="right" vertical="center"/>
    </xf>
    <xf numFmtId="49" fontId="0" fillId="2" borderId="0" xfId="0" quotePrefix="1" applyNumberForma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left" vertical="center" wrapText="1"/>
    </xf>
    <xf numFmtId="41" fontId="5" fillId="2" borderId="28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vertical="center"/>
    </xf>
    <xf numFmtId="41" fontId="17" fillId="2" borderId="13" xfId="0" applyNumberFormat="1" applyFont="1" applyFill="1" applyBorder="1" applyAlignment="1">
      <alignment horizontal="right" vertical="center"/>
    </xf>
    <xf numFmtId="41" fontId="4" fillId="2" borderId="9" xfId="24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41" fontId="0" fillId="2" borderId="5" xfId="24" applyNumberFormat="1" applyFont="1" applyFill="1" applyBorder="1" applyAlignment="1">
      <alignment horizontal="right" vertical="center"/>
    </xf>
    <xf numFmtId="49" fontId="0" fillId="2" borderId="15" xfId="0" applyNumberFormat="1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horizontal="left" vertical="center" wrapText="1"/>
    </xf>
    <xf numFmtId="49" fontId="0" fillId="2" borderId="10" xfId="0" applyNumberFormat="1" applyFill="1" applyBorder="1" applyAlignment="1">
      <alignment horizontal="left" vertical="center" wrapText="1"/>
    </xf>
    <xf numFmtId="41" fontId="0" fillId="0" borderId="30" xfId="24" applyNumberFormat="1" applyFont="1" applyBorder="1" applyAlignment="1">
      <alignment horizontal="right" vertical="center"/>
    </xf>
    <xf numFmtId="41" fontId="4" fillId="2" borderId="7" xfId="24" applyNumberFormat="1" applyFont="1" applyFill="1" applyBorder="1" applyAlignment="1">
      <alignment horizontal="right" vertical="center"/>
    </xf>
    <xf numFmtId="41" fontId="0" fillId="2" borderId="8" xfId="0" applyNumberFormat="1" applyFont="1" applyFill="1" applyBorder="1" applyAlignment="1">
      <alignment horizontal="right" vertical="center"/>
    </xf>
    <xf numFmtId="170" fontId="4" fillId="0" borderId="0" xfId="0" applyNumberFormat="1" applyFont="1"/>
    <xf numFmtId="0" fontId="69" fillId="0" borderId="0" xfId="0" applyFont="1" applyBorder="1"/>
    <xf numFmtId="0" fontId="0" fillId="0" borderId="0" xfId="0" applyAlignment="1">
      <alignment vertical="center"/>
    </xf>
    <xf numFmtId="0" fontId="70" fillId="2" borderId="0" xfId="0" applyFont="1" applyFill="1"/>
    <xf numFmtId="49" fontId="0" fillId="2" borderId="13" xfId="0" applyNumberFormat="1" applyFont="1" applyFill="1" applyBorder="1" applyAlignment="1">
      <alignment vertical="center" wrapText="1"/>
    </xf>
    <xf numFmtId="49" fontId="0" fillId="2" borderId="12" xfId="0" quotePrefix="1" applyNumberFormat="1" applyFill="1" applyBorder="1" applyAlignment="1">
      <alignment horizontal="center" vertical="center"/>
    </xf>
    <xf numFmtId="41" fontId="0" fillId="0" borderId="42" xfId="24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wrapText="1"/>
    </xf>
    <xf numFmtId="2" fontId="7" fillId="2" borderId="0" xfId="0" quotePrefix="1" applyNumberFormat="1" applyFont="1" applyFill="1" applyAlignment="1">
      <alignment horizontal="left"/>
    </xf>
    <xf numFmtId="165" fontId="0" fillId="0" borderId="0" xfId="24" applyNumberFormat="1" applyFont="1" applyAlignment="1">
      <alignment wrapText="1"/>
    </xf>
    <xf numFmtId="49" fontId="4" fillId="0" borderId="1" xfId="0" quotePrefix="1" applyNumberFormat="1" applyFont="1" applyFill="1" applyBorder="1" applyAlignment="1">
      <alignment horizontal="center" wrapText="1"/>
    </xf>
    <xf numFmtId="0" fontId="9" fillId="2" borderId="0" xfId="0" applyFont="1" applyFill="1" applyAlignment="1"/>
    <xf numFmtId="0" fontId="6" fillId="2" borderId="0" xfId="0" applyFont="1" applyFill="1" applyAlignment="1"/>
    <xf numFmtId="164" fontId="0" fillId="2" borderId="26" xfId="0" applyNumberForma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1" fontId="4" fillId="2" borderId="9" xfId="24" applyNumberFormat="1" applyFont="1" applyFill="1" applyBorder="1" applyAlignment="1">
      <alignment horizontal="left" vertical="center"/>
    </xf>
    <xf numFmtId="41" fontId="0" fillId="2" borderId="8" xfId="0" applyNumberForma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wrapText="1"/>
    </xf>
    <xf numFmtId="41" fontId="0" fillId="0" borderId="0" xfId="0" applyNumberFormat="1"/>
    <xf numFmtId="0" fontId="5" fillId="2" borderId="6" xfId="0" quotePrefix="1" applyNumberFormat="1" applyFont="1" applyFill="1" applyBorder="1" applyAlignment="1">
      <alignment horizontal="center" vertical="center" wrapText="1"/>
    </xf>
    <xf numFmtId="41" fontId="0" fillId="2" borderId="7" xfId="0" applyNumberFormat="1" applyFont="1" applyFill="1" applyBorder="1" applyAlignment="1">
      <alignment horizontal="right" vertical="center" wrapText="1"/>
    </xf>
    <xf numFmtId="41" fontId="5" fillId="2" borderId="7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wrapText="1"/>
    </xf>
    <xf numFmtId="43" fontId="5" fillId="2" borderId="28" xfId="0" applyNumberFormat="1" applyFont="1" applyFill="1" applyBorder="1" applyAlignment="1">
      <alignment horizontal="right" vertical="center"/>
    </xf>
    <xf numFmtId="43" fontId="0" fillId="2" borderId="7" xfId="24" applyNumberFormat="1" applyFont="1" applyFill="1" applyBorder="1" applyAlignment="1">
      <alignment horizontal="right" vertical="center"/>
    </xf>
    <xf numFmtId="43" fontId="0" fillId="2" borderId="13" xfId="0" applyNumberFormat="1" applyFont="1" applyFill="1" applyBorder="1" applyAlignment="1">
      <alignment horizontal="right" vertical="center"/>
    </xf>
    <xf numFmtId="43" fontId="0" fillId="0" borderId="0" xfId="0" applyNumberFormat="1" applyFill="1" applyAlignment="1">
      <alignment vertical="center"/>
    </xf>
    <xf numFmtId="43" fontId="17" fillId="2" borderId="13" xfId="0" applyNumberFormat="1" applyFont="1" applyFill="1" applyBorder="1" applyAlignment="1">
      <alignment horizontal="right" vertical="center"/>
    </xf>
    <xf numFmtId="43" fontId="4" fillId="2" borderId="13" xfId="0" applyNumberFormat="1" applyFont="1" applyFill="1" applyBorder="1" applyAlignment="1">
      <alignment horizontal="right" vertical="center"/>
    </xf>
    <xf numFmtId="49" fontId="0" fillId="0" borderId="43" xfId="0" applyNumberFormat="1" applyFill="1" applyBorder="1" applyAlignment="1">
      <alignment horizontal="center" vertical="center"/>
    </xf>
    <xf numFmtId="3" fontId="0" fillId="0" borderId="43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1" fontId="0" fillId="0" borderId="43" xfId="0" applyNumberFormat="1" applyFill="1" applyBorder="1" applyAlignment="1">
      <alignment horizontal="right" vertical="center"/>
    </xf>
    <xf numFmtId="43" fontId="4" fillId="2" borderId="40" xfId="0" quotePrefix="1" applyNumberFormat="1" applyFont="1" applyFill="1" applyBorder="1" applyAlignment="1">
      <alignment horizontal="center" wrapText="1"/>
    </xf>
    <xf numFmtId="49" fontId="0" fillId="2" borderId="9" xfId="24" applyNumberFormat="1" applyFont="1" applyFill="1" applyBorder="1" applyAlignment="1">
      <alignment horizontal="center" vertical="center"/>
    </xf>
    <xf numFmtId="0" fontId="0" fillId="51" borderId="44" xfId="0" applyFill="1" applyBorder="1"/>
    <xf numFmtId="169" fontId="0" fillId="0" borderId="0" xfId="0" applyNumberFormat="1"/>
    <xf numFmtId="43" fontId="0" fillId="2" borderId="7" xfId="0" applyNumberFormat="1" applyFill="1" applyBorder="1" applyAlignment="1">
      <alignment horizontal="right" vertical="center"/>
    </xf>
    <xf numFmtId="43" fontId="0" fillId="0" borderId="0" xfId="24" applyNumberFormat="1" applyFont="1" applyAlignment="1">
      <alignment horizontal="right" vertical="center"/>
    </xf>
    <xf numFmtId="43" fontId="0" fillId="0" borderId="0" xfId="0" applyNumberFormat="1" applyFill="1" applyBorder="1" applyAlignment="1">
      <alignment horizontal="right" vertical="center"/>
    </xf>
    <xf numFmtId="43" fontId="0" fillId="0" borderId="0" xfId="0" applyNumberFormat="1" applyFill="1"/>
    <xf numFmtId="43" fontId="0" fillId="0" borderId="0" xfId="24" applyNumberFormat="1" applyFont="1" applyFill="1" applyAlignment="1">
      <alignment horizontal="right" vertical="center"/>
    </xf>
    <xf numFmtId="43" fontId="4" fillId="2" borderId="7" xfId="0" applyNumberFormat="1" applyFont="1" applyFill="1" applyBorder="1" applyAlignment="1">
      <alignment horizontal="right" vertical="center"/>
    </xf>
    <xf numFmtId="49" fontId="0" fillId="0" borderId="45" xfId="0" applyNumberFormat="1" applyFill="1" applyBorder="1" applyAlignment="1">
      <alignment horizontal="center" vertical="center"/>
    </xf>
    <xf numFmtId="0" fontId="0" fillId="0" borderId="45" xfId="0" applyFill="1" applyBorder="1"/>
    <xf numFmtId="0" fontId="8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4" fillId="0" borderId="29" xfId="0" applyNumberFormat="1" applyFont="1" applyFill="1" applyBorder="1" applyAlignment="1">
      <alignment horizontal="center" wrapText="1"/>
    </xf>
    <xf numFmtId="17" fontId="4" fillId="0" borderId="29" xfId="0" quotePrefix="1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wrapText="1"/>
    </xf>
    <xf numFmtId="49" fontId="0" fillId="51" borderId="47" xfId="0" applyNumberFormat="1" applyFill="1" applyBorder="1" applyAlignment="1">
      <alignment horizontal="center" vertical="center"/>
    </xf>
    <xf numFmtId="0" fontId="0" fillId="51" borderId="47" xfId="0" applyFont="1" applyFill="1" applyBorder="1" applyAlignment="1">
      <alignment horizontal="center"/>
    </xf>
    <xf numFmtId="49" fontId="0" fillId="2" borderId="48" xfId="0" quotePrefix="1" applyNumberFormat="1" applyFont="1" applyFill="1" applyBorder="1" applyAlignment="1">
      <alignment horizontal="center" wrapText="1"/>
    </xf>
    <xf numFmtId="43" fontId="0" fillId="2" borderId="49" xfId="0" quotePrefix="1" applyNumberFormat="1" applyFont="1" applyFill="1" applyBorder="1" applyAlignment="1">
      <alignment horizontal="center" wrapText="1"/>
    </xf>
    <xf numFmtId="41" fontId="0" fillId="0" borderId="0" xfId="0" applyNumberFormat="1" applyFill="1"/>
    <xf numFmtId="41" fontId="0" fillId="0" borderId="0" xfId="0" applyNumberFormat="1" applyFill="1" applyAlignment="1">
      <alignment horizontal="right"/>
    </xf>
    <xf numFmtId="49" fontId="5" fillId="2" borderId="13" xfId="0" applyNumberFormat="1" applyFont="1" applyFill="1" applyBorder="1" applyAlignment="1">
      <alignment horizontal="left" vertical="center" wrapText="1"/>
    </xf>
    <xf numFmtId="49" fontId="3" fillId="2" borderId="9" xfId="24" applyNumberFormat="1" applyFont="1" applyFill="1" applyBorder="1" applyAlignment="1">
      <alignment horizontal="center" vertical="center"/>
    </xf>
    <xf numFmtId="49" fontId="3" fillId="2" borderId="9" xfId="24" applyNumberFormat="1" applyFont="1" applyFill="1" applyBorder="1" applyAlignment="1">
      <alignment horizontal="left" vertical="center"/>
    </xf>
    <xf numFmtId="49" fontId="0" fillId="2" borderId="9" xfId="24" quotePrefix="1" applyNumberFormat="1" applyFont="1" applyFill="1" applyBorder="1" applyAlignment="1">
      <alignment horizontal="center" vertical="center"/>
    </xf>
    <xf numFmtId="49" fontId="0" fillId="2" borderId="9" xfId="24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 wrapText="1"/>
    </xf>
    <xf numFmtId="0" fontId="0" fillId="2" borderId="7" xfId="24" applyNumberFormat="1" applyFont="1" applyFill="1" applyBorder="1" applyAlignment="1">
      <alignment horizontal="right" vertical="center"/>
    </xf>
    <xf numFmtId="43" fontId="4" fillId="2" borderId="7" xfId="24" applyNumberFormat="1" applyFont="1" applyFill="1" applyBorder="1" applyAlignment="1">
      <alignment horizontal="right" vertical="center"/>
    </xf>
    <xf numFmtId="44" fontId="0" fillId="0" borderId="0" xfId="0" applyNumberFormat="1" applyFill="1"/>
    <xf numFmtId="41" fontId="4" fillId="0" borderId="50" xfId="24" applyNumberFormat="1" applyFont="1" applyFill="1" applyBorder="1" applyAlignment="1">
      <alignment horizontal="right" vertical="center"/>
    </xf>
    <xf numFmtId="43" fontId="0" fillId="0" borderId="0" xfId="24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left" vertical="center"/>
    </xf>
    <xf numFmtId="4" fontId="0" fillId="2" borderId="7" xfId="0" applyNumberFormat="1" applyFill="1" applyBorder="1" applyAlignment="1">
      <alignment horizontal="center"/>
    </xf>
    <xf numFmtId="43" fontId="0" fillId="0" borderId="30" xfId="0" applyNumberFormat="1" applyFill="1" applyBorder="1" applyAlignment="1">
      <alignment horizontal="right" vertical="center"/>
    </xf>
    <xf numFmtId="17" fontId="4" fillId="0" borderId="30" xfId="0" quotePrefix="1" applyNumberFormat="1" applyFont="1" applyFill="1" applyBorder="1" applyAlignment="1">
      <alignment horizontal="center" vertical="center" wrapText="1"/>
    </xf>
    <xf numFmtId="17" fontId="4" fillId="0" borderId="29" xfId="0" quotePrefix="1" applyNumberFormat="1" applyFont="1" applyFill="1" applyBorder="1" applyAlignment="1">
      <alignment horizontal="center" vertical="center" wrapText="1"/>
    </xf>
    <xf numFmtId="41" fontId="0" fillId="0" borderId="51" xfId="24" applyNumberFormat="1" applyFont="1" applyFill="1" applyBorder="1" applyAlignment="1">
      <alignment horizontal="right" vertical="center"/>
    </xf>
    <xf numFmtId="41" fontId="0" fillId="2" borderId="53" xfId="24" applyNumberFormat="1" applyFont="1" applyFill="1" applyBorder="1" applyAlignment="1">
      <alignment horizontal="right" vertical="center"/>
    </xf>
    <xf numFmtId="41" fontId="0" fillId="0" borderId="54" xfId="24" applyNumberFormat="1" applyFont="1" applyFill="1" applyBorder="1" applyAlignment="1">
      <alignment horizontal="right" vertical="center"/>
    </xf>
    <xf numFmtId="0" fontId="0" fillId="0" borderId="54" xfId="0" applyBorder="1"/>
    <xf numFmtId="0" fontId="0" fillId="0" borderId="54" xfId="0" applyFill="1" applyBorder="1"/>
    <xf numFmtId="41" fontId="0" fillId="51" borderId="54" xfId="24" applyNumberFormat="1" applyFont="1" applyFill="1" applyBorder="1" applyAlignment="1">
      <alignment horizontal="right" vertical="center"/>
    </xf>
    <xf numFmtId="168" fontId="0" fillId="0" borderId="54" xfId="0" applyNumberFormat="1" applyFill="1" applyBorder="1"/>
    <xf numFmtId="3" fontId="0" fillId="0" borderId="54" xfId="0" applyNumberFormat="1" applyFill="1" applyBorder="1"/>
    <xf numFmtId="3" fontId="0" fillId="2" borderId="54" xfId="0" applyNumberFormat="1" applyFill="1" applyBorder="1"/>
    <xf numFmtId="3" fontId="0" fillId="0" borderId="54" xfId="0" applyNumberFormat="1" applyBorder="1"/>
    <xf numFmtId="4" fontId="0" fillId="0" borderId="0" xfId="24" applyNumberFormat="1" applyFont="1" applyAlignment="1">
      <alignment horizontal="right" vertical="center"/>
    </xf>
    <xf numFmtId="4" fontId="0" fillId="0" borderId="0" xfId="24" applyNumberFormat="1" applyFont="1" applyFill="1" applyBorder="1" applyAlignment="1">
      <alignment horizontal="right" vertical="center"/>
    </xf>
    <xf numFmtId="4" fontId="4" fillId="2" borderId="9" xfId="24" applyNumberFormat="1" applyFont="1" applyFill="1" applyBorder="1" applyAlignment="1">
      <alignment horizontal="right" vertical="center"/>
    </xf>
    <xf numFmtId="4" fontId="0" fillId="0" borderId="51" xfId="24" applyNumberFormat="1" applyFont="1" applyFill="1" applyBorder="1" applyAlignment="1">
      <alignment horizontal="right" vertical="center"/>
    </xf>
    <xf numFmtId="4" fontId="4" fillId="2" borderId="51" xfId="24" applyNumberFormat="1" applyFont="1" applyFill="1" applyBorder="1" applyAlignment="1">
      <alignment horizontal="right" vertical="center"/>
    </xf>
    <xf numFmtId="4" fontId="0" fillId="0" borderId="0" xfId="24" applyNumberFormat="1" applyFont="1" applyFill="1" applyAlignment="1">
      <alignment horizontal="right" vertical="center"/>
    </xf>
    <xf numFmtId="4" fontId="0" fillId="0" borderId="0" xfId="0" applyNumberFormat="1"/>
    <xf numFmtId="4" fontId="3" fillId="2" borderId="9" xfId="24" applyNumberFormat="1" applyFont="1" applyFill="1" applyBorder="1" applyAlignment="1">
      <alignment horizontal="right" vertical="center"/>
    </xf>
    <xf numFmtId="4" fontId="3" fillId="2" borderId="52" xfId="24" applyNumberFormat="1" applyFont="1" applyFill="1" applyBorder="1" applyAlignment="1">
      <alignment horizontal="right" vertical="center"/>
    </xf>
    <xf numFmtId="4" fontId="3" fillId="2" borderId="16" xfId="24" applyNumberFormat="1" applyFont="1" applyFill="1" applyBorder="1" applyAlignment="1">
      <alignment horizontal="right" vertical="center"/>
    </xf>
    <xf numFmtId="4" fontId="4" fillId="2" borderId="52" xfId="24" applyNumberFormat="1" applyFont="1" applyFill="1" applyBorder="1" applyAlignment="1">
      <alignment horizontal="right" vertical="center"/>
    </xf>
    <xf numFmtId="4" fontId="0" fillId="0" borderId="0" xfId="24" applyNumberFormat="1" applyFont="1" applyFill="1" applyAlignment="1">
      <alignment vertical="center"/>
    </xf>
    <xf numFmtId="4" fontId="0" fillId="51" borderId="44" xfId="24" applyNumberFormat="1" applyFont="1" applyFill="1" applyBorder="1" applyAlignment="1">
      <alignment vertical="center" wrapText="1"/>
    </xf>
    <xf numFmtId="4" fontId="0" fillId="51" borderId="44" xfId="0" applyNumberFormat="1" applyFill="1" applyBorder="1"/>
    <xf numFmtId="4" fontId="4" fillId="2" borderId="13" xfId="0" applyNumberFormat="1" applyFont="1" applyFill="1" applyBorder="1" applyAlignment="1">
      <alignment horizontal="right" vertical="center"/>
    </xf>
    <xf numFmtId="4" fontId="4" fillId="0" borderId="0" xfId="0" applyNumberFormat="1" applyFont="1" applyFill="1"/>
    <xf numFmtId="4" fontId="0" fillId="51" borderId="0" xfId="24" applyNumberFormat="1" applyFont="1" applyFill="1" applyAlignment="1">
      <alignment horizontal="right" vertical="center"/>
    </xf>
    <xf numFmtId="4" fontId="0" fillId="0" borderId="0" xfId="0" applyNumberFormat="1" applyFont="1"/>
    <xf numFmtId="4" fontId="4" fillId="2" borderId="13" xfId="24" applyNumberFormat="1" applyFont="1" applyFill="1" applyBorder="1" applyAlignment="1">
      <alignment horizontal="right" vertical="center"/>
    </xf>
    <xf numFmtId="4" fontId="0" fillId="2" borderId="7" xfId="24" applyNumberFormat="1" applyFont="1" applyFill="1" applyBorder="1" applyAlignment="1">
      <alignment horizontal="right" vertical="center"/>
    </xf>
    <xf numFmtId="4" fontId="0" fillId="2" borderId="13" xfId="24" applyNumberFormat="1" applyFont="1" applyFill="1" applyBorder="1" applyAlignment="1">
      <alignment horizontal="right" vertical="center"/>
    </xf>
    <xf numFmtId="4" fontId="0" fillId="2" borderId="14" xfId="24" applyNumberFormat="1" applyFont="1" applyFill="1" applyBorder="1" applyAlignment="1">
      <alignment horizontal="right" vertical="center"/>
    </xf>
    <xf numFmtId="4" fontId="0" fillId="2" borderId="49" xfId="0" applyNumberFormat="1" applyFill="1" applyBorder="1" applyAlignment="1">
      <alignment vertical="center"/>
    </xf>
    <xf numFmtId="4" fontId="17" fillId="51" borderId="47" xfId="0" applyNumberFormat="1" applyFont="1" applyFill="1" applyBorder="1" applyAlignment="1">
      <alignment horizontal="right" vertical="center" wrapText="1"/>
    </xf>
    <xf numFmtId="4" fontId="0" fillId="2" borderId="11" xfId="24" applyNumberFormat="1" applyFont="1" applyFill="1" applyBorder="1" applyAlignment="1">
      <alignment horizontal="right" vertical="center"/>
    </xf>
    <xf numFmtId="4" fontId="0" fillId="2" borderId="5" xfId="24" applyNumberFormat="1" applyFont="1" applyFill="1" applyBorder="1" applyAlignment="1">
      <alignment horizontal="right" vertical="center"/>
    </xf>
    <xf numFmtId="4" fontId="0" fillId="2" borderId="16" xfId="24" applyNumberFormat="1" applyFont="1" applyFill="1" applyBorder="1" applyAlignment="1">
      <alignment horizontal="right" vertical="center"/>
    </xf>
    <xf numFmtId="4" fontId="0" fillId="0" borderId="45" xfId="24" applyNumberFormat="1" applyFont="1" applyFill="1" applyBorder="1" applyAlignment="1">
      <alignment horizontal="right" vertical="center"/>
    </xf>
    <xf numFmtId="4" fontId="0" fillId="0" borderId="43" xfId="24" applyNumberFormat="1" applyFont="1" applyFill="1" applyBorder="1" applyAlignment="1">
      <alignment horizontal="right" vertical="center"/>
    </xf>
    <xf numFmtId="4" fontId="0" fillId="0" borderId="46" xfId="24" applyNumberFormat="1" applyFont="1" applyFill="1" applyBorder="1" applyAlignment="1">
      <alignment horizontal="right" vertical="center"/>
    </xf>
    <xf numFmtId="4" fontId="0" fillId="0" borderId="0" xfId="0" applyNumberFormat="1" applyFill="1" applyBorder="1"/>
    <xf numFmtId="4" fontId="4" fillId="2" borderId="7" xfId="24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>
      <alignment horizontal="right" vertical="center" wrapText="1"/>
    </xf>
    <xf numFmtId="4" fontId="0" fillId="0" borderId="0" xfId="24" applyNumberFormat="1" applyFont="1" applyAlignment="1">
      <alignment wrapText="1"/>
    </xf>
    <xf numFmtId="4" fontId="5" fillId="2" borderId="13" xfId="0" applyNumberFormat="1" applyFont="1" applyFill="1" applyBorder="1" applyAlignment="1">
      <alignment horizontal="left" vertical="center" wrapText="1"/>
    </xf>
    <xf numFmtId="4" fontId="17" fillId="2" borderId="13" xfId="0" applyNumberFormat="1" applyFont="1" applyFill="1" applyBorder="1" applyAlignment="1">
      <alignment horizontal="right" vertical="center" wrapText="1"/>
    </xf>
    <xf numFmtId="43" fontId="0" fillId="0" borderId="55" xfId="24" applyNumberFormat="1" applyFont="1" applyBorder="1" applyAlignment="1">
      <alignment horizontal="right" vertical="center"/>
    </xf>
    <xf numFmtId="43" fontId="0" fillId="0" borderId="55" xfId="24" applyNumberFormat="1" applyFont="1" applyFill="1" applyBorder="1" applyAlignment="1">
      <alignment horizontal="right" vertical="center"/>
    </xf>
    <xf numFmtId="43" fontId="0" fillId="0" borderId="55" xfId="0" applyNumberFormat="1" applyFill="1" applyBorder="1" applyAlignment="1">
      <alignment horizontal="right" vertical="center"/>
    </xf>
    <xf numFmtId="0" fontId="0" fillId="0" borderId="55" xfId="0" applyBorder="1"/>
    <xf numFmtId="4" fontId="0" fillId="2" borderId="7" xfId="0" applyNumberFormat="1" applyFill="1" applyBorder="1" applyAlignment="1">
      <alignment horizontal="right" vertical="center"/>
    </xf>
    <xf numFmtId="4" fontId="0" fillId="0" borderId="0" xfId="24" applyNumberFormat="1" applyFont="1" applyBorder="1" applyAlignment="1">
      <alignment horizontal="right" vertical="center"/>
    </xf>
    <xf numFmtId="4" fontId="0" fillId="0" borderId="30" xfId="24" applyNumberFormat="1" applyFont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top"/>
    </xf>
    <xf numFmtId="43" fontId="0" fillId="0" borderId="0" xfId="24" applyFont="1"/>
    <xf numFmtId="4" fontId="4" fillId="0" borderId="0" xfId="0" quotePrefix="1" applyNumberFormat="1" applyFont="1" applyFill="1" applyBorder="1" applyAlignment="1">
      <alignment horizontal="center" vertical="center" wrapText="1"/>
    </xf>
    <xf numFmtId="4" fontId="0" fillId="0" borderId="0" xfId="24" applyNumberFormat="1" applyFont="1" applyFill="1" applyAlignment="1">
      <alignment wrapText="1"/>
    </xf>
    <xf numFmtId="4" fontId="0" fillId="0" borderId="0" xfId="0" applyNumberFormat="1" applyFill="1" applyBorder="1" applyAlignment="1">
      <alignment horizontal="right" vertical="center"/>
    </xf>
    <xf numFmtId="4" fontId="0" fillId="0" borderId="42" xfId="24" applyNumberFormat="1" applyFont="1" applyBorder="1" applyAlignment="1">
      <alignment horizontal="right" vertical="center"/>
    </xf>
    <xf numFmtId="169" fontId="5" fillId="2" borderId="28" xfId="0" applyNumberFormat="1" applyFont="1" applyFill="1" applyBorder="1" applyAlignment="1">
      <alignment horizontal="right" vertical="center"/>
    </xf>
    <xf numFmtId="169" fontId="4" fillId="2" borderId="13" xfId="0" applyNumberFormat="1" applyFont="1" applyFill="1" applyBorder="1" applyAlignment="1">
      <alignment horizontal="right" vertical="center"/>
    </xf>
    <xf numFmtId="43" fontId="5" fillId="0" borderId="55" xfId="24" applyNumberFormat="1" applyFont="1" applyFill="1" applyBorder="1" applyAlignment="1">
      <alignment horizontal="right" vertical="center"/>
    </xf>
    <xf numFmtId="49" fontId="0" fillId="2" borderId="56" xfId="0" quotePrefix="1" applyNumberFormat="1" applyFont="1" applyFill="1" applyBorder="1" applyAlignment="1">
      <alignment horizontal="center" wrapText="1"/>
    </xf>
    <xf numFmtId="17" fontId="4" fillId="52" borderId="1" xfId="0" quotePrefix="1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41" fontId="0" fillId="2" borderId="8" xfId="24" applyNumberFormat="1" applyFont="1" applyFill="1" applyBorder="1" applyAlignment="1">
      <alignment horizontal="right" vertical="center"/>
    </xf>
    <xf numFmtId="4" fontId="0" fillId="52" borderId="49" xfId="0" applyNumberFormat="1" applyFill="1" applyBorder="1" applyAlignment="1"/>
    <xf numFmtId="17" fontId="4" fillId="2" borderId="1" xfId="0" quotePrefix="1" applyNumberFormat="1" applyFont="1" applyFill="1" applyBorder="1" applyAlignment="1">
      <alignment horizontal="center" wrapText="1"/>
    </xf>
    <xf numFmtId="41" fontId="0" fillId="2" borderId="57" xfId="24" applyNumberFormat="1" applyFont="1" applyFill="1" applyBorder="1" applyAlignment="1">
      <alignment horizontal="center" wrapText="1"/>
    </xf>
    <xf numFmtId="4" fontId="0" fillId="2" borderId="0" xfId="0" applyNumberFormat="1" applyFill="1" applyAlignment="1"/>
    <xf numFmtId="4" fontId="0" fillId="52" borderId="57" xfId="0" applyNumberFormat="1" applyFill="1" applyBorder="1" applyAlignment="1"/>
    <xf numFmtId="41" fontId="0" fillId="2" borderId="49" xfId="24" applyNumberFormat="1" applyFont="1" applyFill="1" applyBorder="1" applyAlignment="1">
      <alignment horizontal="center" wrapText="1"/>
    </xf>
    <xf numFmtId="49" fontId="0" fillId="51" borderId="47" xfId="0" applyNumberFormat="1" applyFill="1" applyBorder="1" applyAlignment="1">
      <alignment horizontal="center"/>
    </xf>
    <xf numFmtId="41" fontId="17" fillId="51" borderId="47" xfId="0" applyNumberFormat="1" applyFont="1" applyFill="1" applyBorder="1" applyAlignment="1">
      <alignment horizontal="right" wrapText="1"/>
    </xf>
    <xf numFmtId="4" fontId="17" fillId="52" borderId="47" xfId="0" applyNumberFormat="1" applyFont="1" applyFill="1" applyBorder="1" applyAlignment="1">
      <alignment horizontal="right" wrapText="1"/>
    </xf>
    <xf numFmtId="49" fontId="4" fillId="2" borderId="12" xfId="0" applyNumberFormat="1" applyFont="1" applyFill="1" applyBorder="1" applyAlignment="1">
      <alignment horizontal="center"/>
    </xf>
    <xf numFmtId="41" fontId="4" fillId="2" borderId="13" xfId="0" applyNumberFormat="1" applyFont="1" applyFill="1" applyBorder="1" applyAlignment="1">
      <alignment horizontal="right"/>
    </xf>
    <xf numFmtId="4" fontId="4" fillId="52" borderId="13" xfId="0" applyNumberFormat="1" applyFont="1" applyFill="1" applyBorder="1" applyAlignment="1">
      <alignment horizontal="right"/>
    </xf>
    <xf numFmtId="17" fontId="4" fillId="52" borderId="1" xfId="0" quotePrefix="1" applyNumberFormat="1" applyFont="1" applyFill="1" applyBorder="1" applyAlignment="1">
      <alignment horizontal="center" vertical="center" wrapText="1"/>
    </xf>
    <xf numFmtId="4" fontId="0" fillId="52" borderId="59" xfId="24" applyNumberFormat="1" applyFont="1" applyFill="1" applyBorder="1" applyAlignment="1">
      <alignment horizontal="right" vertical="center"/>
    </xf>
    <xf numFmtId="4" fontId="0" fillId="52" borderId="59" xfId="0" applyNumberFormat="1" applyFill="1" applyBorder="1"/>
    <xf numFmtId="41" fontId="0" fillId="2" borderId="8" xfId="24" applyNumberFormat="1" applyFont="1" applyFill="1" applyBorder="1" applyAlignment="1">
      <alignment horizontal="right" vertical="center" wrapText="1"/>
    </xf>
    <xf numFmtId="0" fontId="4" fillId="2" borderId="58" xfId="0" applyFont="1" applyFill="1" applyBorder="1"/>
    <xf numFmtId="41" fontId="0" fillId="2" borderId="59" xfId="24" applyNumberFormat="1" applyFont="1" applyFill="1" applyBorder="1" applyAlignment="1">
      <alignment horizontal="right" vertical="center"/>
    </xf>
    <xf numFmtId="41" fontId="0" fillId="52" borderId="59" xfId="24" applyNumberFormat="1" applyFont="1" applyFill="1" applyBorder="1" applyAlignment="1">
      <alignment horizontal="right" vertical="center"/>
    </xf>
    <xf numFmtId="4" fontId="0" fillId="0" borderId="59" xfId="24" applyNumberFormat="1" applyFont="1" applyBorder="1" applyAlignment="1">
      <alignment horizontal="right" vertical="center"/>
    </xf>
    <xf numFmtId="0" fontId="0" fillId="2" borderId="59" xfId="0" applyFill="1" applyBorder="1"/>
    <xf numFmtId="0" fontId="0" fillId="52" borderId="59" xfId="0" applyFill="1" applyBorder="1"/>
    <xf numFmtId="4" fontId="0" fillId="0" borderId="59" xfId="0" applyNumberFormat="1" applyBorder="1"/>
    <xf numFmtId="41" fontId="4" fillId="2" borderId="59" xfId="24" applyNumberFormat="1" applyFont="1" applyFill="1" applyBorder="1" applyAlignment="1">
      <alignment horizontal="right" vertical="center"/>
    </xf>
    <xf numFmtId="41" fontId="4" fillId="52" borderId="59" xfId="24" applyNumberFormat="1" applyFont="1" applyFill="1" applyBorder="1" applyAlignment="1">
      <alignment horizontal="right" vertical="center"/>
    </xf>
    <xf numFmtId="4" fontId="4" fillId="2" borderId="59" xfId="24" applyNumberFormat="1" applyFont="1" applyFill="1" applyBorder="1" applyAlignment="1">
      <alignment horizontal="right" vertical="center"/>
    </xf>
    <xf numFmtId="41" fontId="0" fillId="0" borderId="59" xfId="24" applyNumberFormat="1" applyFont="1" applyFill="1" applyBorder="1" applyAlignment="1">
      <alignment horizontal="right" vertical="center"/>
    </xf>
    <xf numFmtId="4" fontId="4" fillId="0" borderId="59" xfId="24" applyNumberFormat="1" applyFont="1" applyFill="1" applyBorder="1" applyAlignment="1">
      <alignment horizontal="right" vertical="center"/>
    </xf>
    <xf numFmtId="17" fontId="4" fillId="0" borderId="60" xfId="0" quotePrefix="1" applyNumberFormat="1" applyFont="1" applyFill="1" applyBorder="1" applyAlignment="1">
      <alignment horizontal="center" wrapText="1"/>
    </xf>
    <xf numFmtId="41" fontId="0" fillId="0" borderId="60" xfId="24" applyNumberFormat="1" applyFont="1" applyFill="1" applyBorder="1" applyAlignment="1">
      <alignment horizontal="right" vertical="center"/>
    </xf>
    <xf numFmtId="4" fontId="0" fillId="0" borderId="60" xfId="24" applyNumberFormat="1" applyFont="1" applyBorder="1" applyAlignment="1">
      <alignment horizontal="right" vertical="center"/>
    </xf>
    <xf numFmtId="4" fontId="0" fillId="52" borderId="60" xfId="24" applyNumberFormat="1" applyFont="1" applyFill="1" applyBorder="1" applyAlignment="1">
      <alignment horizontal="right" vertical="center"/>
    </xf>
    <xf numFmtId="17" fontId="4" fillId="2" borderId="1" xfId="0" quotePrefix="1" applyNumberFormat="1" applyFont="1" applyFill="1" applyBorder="1" applyAlignment="1">
      <alignment horizontal="center" vertical="center" wrapText="1"/>
    </xf>
    <xf numFmtId="4" fontId="0" fillId="2" borderId="60" xfId="24" applyNumberFormat="1" applyFont="1" applyFill="1" applyBorder="1" applyAlignment="1">
      <alignment horizontal="right" vertical="center"/>
    </xf>
    <xf numFmtId="4" fontId="0" fillId="2" borderId="59" xfId="24" applyNumberFormat="1" applyFont="1" applyFill="1" applyBorder="1" applyAlignment="1">
      <alignment horizontal="right" vertical="center"/>
    </xf>
    <xf numFmtId="4" fontId="0" fillId="2" borderId="59" xfId="0" applyNumberFormat="1" applyFill="1" applyBorder="1"/>
    <xf numFmtId="41" fontId="0" fillId="2" borderId="60" xfId="24" applyNumberFormat="1" applyFont="1" applyFill="1" applyBorder="1" applyAlignment="1">
      <alignment horizontal="right" vertical="center"/>
    </xf>
    <xf numFmtId="41" fontId="0" fillId="52" borderId="60" xfId="24" applyNumberFormat="1" applyFont="1" applyFill="1" applyBorder="1" applyAlignment="1">
      <alignment horizontal="right" vertical="center"/>
    </xf>
    <xf numFmtId="4" fontId="0" fillId="0" borderId="0" xfId="24" applyNumberFormat="1" applyFont="1" applyFill="1" applyAlignment="1"/>
    <xf numFmtId="4" fontId="0" fillId="0" borderId="0" xfId="0" applyNumberFormat="1" applyFill="1" applyAlignment="1"/>
    <xf numFmtId="4" fontId="0" fillId="0" borderId="44" xfId="24" applyNumberFormat="1" applyFont="1" applyFill="1" applyBorder="1" applyAlignment="1">
      <alignment wrapText="1"/>
    </xf>
    <xf numFmtId="4" fontId="4" fillId="0" borderId="13" xfId="0" applyNumberFormat="1" applyFont="1" applyFill="1" applyBorder="1" applyAlignment="1">
      <alignment horizontal="right"/>
    </xf>
    <xf numFmtId="4" fontId="0" fillId="2" borderId="0" xfId="24" applyNumberFormat="1" applyFont="1" applyFill="1" applyAlignment="1">
      <alignment vertical="center"/>
    </xf>
    <xf numFmtId="4" fontId="0" fillId="2" borderId="44" xfId="24" applyNumberFormat="1" applyFont="1" applyFill="1" applyBorder="1" applyAlignment="1">
      <alignment vertical="center" wrapText="1"/>
    </xf>
    <xf numFmtId="4" fontId="0" fillId="52" borderId="0" xfId="24" applyNumberFormat="1" applyFont="1" applyFill="1" applyAlignment="1">
      <alignment vertical="center"/>
    </xf>
    <xf numFmtId="4" fontId="0" fillId="52" borderId="44" xfId="24" applyNumberFormat="1" applyFont="1" applyFill="1" applyBorder="1" applyAlignment="1">
      <alignment vertical="center" wrapText="1"/>
    </xf>
    <xf numFmtId="4" fontId="4" fillId="52" borderId="13" xfId="0" applyNumberFormat="1" applyFont="1" applyFill="1" applyBorder="1" applyAlignment="1">
      <alignment horizontal="right" vertical="center"/>
    </xf>
    <xf numFmtId="49" fontId="0" fillId="2" borderId="61" xfId="24" applyNumberFormat="1" applyFont="1" applyFill="1" applyBorder="1" applyAlignment="1">
      <alignment horizontal="center" vertical="center"/>
    </xf>
    <xf numFmtId="49" fontId="5" fillId="2" borderId="61" xfId="0" applyNumberFormat="1" applyFont="1" applyFill="1" applyBorder="1" applyAlignment="1">
      <alignment horizontal="left" vertical="center" wrapText="1"/>
    </xf>
    <xf numFmtId="4" fontId="3" fillId="2" borderId="62" xfId="24" applyNumberFormat="1" applyFont="1" applyFill="1" applyBorder="1" applyAlignment="1">
      <alignment horizontal="right" vertical="center"/>
    </xf>
    <xf numFmtId="49" fontId="0" fillId="2" borderId="15" xfId="24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left" vertical="center" wrapText="1"/>
    </xf>
    <xf numFmtId="169" fontId="0" fillId="0" borderId="0" xfId="0" applyNumberFormat="1" applyFill="1" applyAlignment="1">
      <alignment vertical="center"/>
    </xf>
    <xf numFmtId="41" fontId="0" fillId="2" borderId="49" xfId="24" applyNumberFormat="1" applyFont="1" applyFill="1" applyBorder="1" applyAlignment="1">
      <alignment horizontal="left" vertical="center" wrapText="1"/>
    </xf>
    <xf numFmtId="41" fontId="0" fillId="2" borderId="7" xfId="24" applyNumberFormat="1" applyFont="1" applyFill="1" applyBorder="1" applyAlignment="1">
      <alignment horizontal="left" vertical="center"/>
    </xf>
    <xf numFmtId="43" fontId="0" fillId="0" borderId="63" xfId="0" applyNumberFormat="1" applyFill="1" applyBorder="1" applyAlignment="1">
      <alignment horizontal="right" vertical="center"/>
    </xf>
    <xf numFmtId="43" fontId="0" fillId="0" borderId="49" xfId="0" applyNumberFormat="1" applyFill="1" applyBorder="1" applyAlignment="1">
      <alignment horizontal="right" vertical="center"/>
    </xf>
    <xf numFmtId="43" fontId="0" fillId="0" borderId="66" xfId="24" applyNumberFormat="1" applyFont="1" applyFill="1" applyBorder="1" applyAlignment="1">
      <alignment horizontal="right" vertical="center"/>
    </xf>
    <xf numFmtId="4" fontId="0" fillId="0" borderId="47" xfId="0" applyNumberFormat="1" applyBorder="1"/>
    <xf numFmtId="4" fontId="0" fillId="0" borderId="49" xfId="24" applyNumberFormat="1" applyFont="1" applyBorder="1" applyAlignment="1">
      <alignment horizontal="right" vertical="center"/>
    </xf>
    <xf numFmtId="169" fontId="0" fillId="0" borderId="54" xfId="24" applyNumberFormat="1" applyFont="1" applyFill="1" applyBorder="1" applyAlignment="1">
      <alignment horizontal="right" vertical="center"/>
    </xf>
    <xf numFmtId="169" fontId="0" fillId="2" borderId="53" xfId="24" applyNumberFormat="1" applyFont="1" applyFill="1" applyBorder="1" applyAlignment="1">
      <alignment horizontal="right" vertical="center"/>
    </xf>
    <xf numFmtId="4" fontId="0" fillId="0" borderId="54" xfId="0" applyNumberFormat="1" applyFill="1" applyBorder="1"/>
    <xf numFmtId="43" fontId="0" fillId="0" borderId="42" xfId="24" applyNumberFormat="1" applyFont="1" applyFill="1" applyBorder="1" applyAlignment="1">
      <alignment horizontal="right" vertical="center"/>
    </xf>
    <xf numFmtId="43" fontId="0" fillId="0" borderId="30" xfId="24" applyNumberFormat="1" applyFont="1" applyFill="1" applyBorder="1" applyAlignment="1">
      <alignment horizontal="right" vertical="center"/>
    </xf>
    <xf numFmtId="43" fontId="0" fillId="0" borderId="63" xfId="24" applyNumberFormat="1" applyFont="1" applyFill="1" applyBorder="1" applyAlignment="1">
      <alignment horizontal="right" vertical="center"/>
    </xf>
    <xf numFmtId="43" fontId="0" fillId="0" borderId="49" xfId="24" applyNumberFormat="1" applyFont="1" applyFill="1" applyBorder="1" applyAlignment="1">
      <alignment horizontal="right" vertical="center"/>
    </xf>
    <xf numFmtId="43" fontId="0" fillId="0" borderId="65" xfId="24" applyNumberFormat="1" applyFont="1" applyFill="1" applyBorder="1" applyAlignment="1">
      <alignment horizontal="right" vertical="center"/>
    </xf>
    <xf numFmtId="43" fontId="0" fillId="0" borderId="57" xfId="24" applyNumberFormat="1" applyFont="1" applyFill="1" applyBorder="1" applyAlignment="1">
      <alignment horizontal="right" vertical="center"/>
    </xf>
    <xf numFmtId="43" fontId="0" fillId="0" borderId="64" xfId="24" applyNumberFormat="1" applyFont="1" applyFill="1" applyBorder="1" applyAlignment="1">
      <alignment horizontal="right" vertical="center"/>
    </xf>
    <xf numFmtId="4" fontId="0" fillId="0" borderId="55" xfId="0" applyNumberFormat="1" applyFill="1" applyBorder="1" applyAlignment="1">
      <alignment vertical="center"/>
    </xf>
    <xf numFmtId="43" fontId="5" fillId="0" borderId="63" xfId="24" applyNumberFormat="1" applyFont="1" applyFill="1" applyBorder="1" applyAlignment="1">
      <alignment horizontal="right" vertical="center"/>
    </xf>
    <xf numFmtId="43" fontId="71" fillId="0" borderId="0" xfId="24" applyNumberFormat="1" applyFont="1" applyFill="1" applyAlignment="1">
      <alignment horizontal="right" vertical="center"/>
    </xf>
    <xf numFmtId="8" fontId="0" fillId="0" borderId="0" xfId="24" applyNumberFormat="1" applyFont="1" applyFill="1" applyAlignment="1">
      <alignment horizontal="right" vertical="center"/>
    </xf>
    <xf numFmtId="43" fontId="5" fillId="0" borderId="0" xfId="24" applyNumberFormat="1" applyFont="1" applyFill="1" applyAlignment="1">
      <alignment horizontal="right" vertical="center"/>
    </xf>
    <xf numFmtId="43" fontId="0" fillId="0" borderId="55" xfId="24" applyFont="1" applyFill="1" applyBorder="1" applyAlignment="1">
      <alignment horizontal="right" vertical="center"/>
    </xf>
    <xf numFmtId="43" fontId="0" fillId="0" borderId="0" xfId="24" applyNumberFormat="1" applyFont="1" applyFill="1" applyAlignment="1">
      <alignment horizontal="center" vertical="center"/>
    </xf>
    <xf numFmtId="4" fontId="0" fillId="0" borderId="0" xfId="24" applyNumberFormat="1" applyFont="1" applyFill="1" applyAlignment="1">
      <alignment horizontal="center" vertical="center"/>
    </xf>
    <xf numFmtId="4" fontId="0" fillId="2" borderId="49" xfId="0" quotePrefix="1" applyNumberFormat="1" applyFont="1" applyFill="1" applyBorder="1" applyAlignment="1">
      <alignment horizontal="center" wrapText="1"/>
    </xf>
    <xf numFmtId="4" fontId="5" fillId="0" borderId="51" xfId="24" applyNumberFormat="1" applyFont="1" applyFill="1" applyBorder="1" applyAlignment="1">
      <alignment horizontal="right" vertical="center"/>
    </xf>
    <xf numFmtId="6" fontId="5" fillId="2" borderId="28" xfId="0" applyNumberFormat="1" applyFont="1" applyFill="1" applyBorder="1" applyAlignment="1">
      <alignment horizontal="right" vertical="center"/>
    </xf>
    <xf numFmtId="6" fontId="5" fillId="2" borderId="13" xfId="0" applyNumberFormat="1" applyFont="1" applyFill="1" applyBorder="1" applyAlignment="1">
      <alignment horizontal="right" vertical="center"/>
    </xf>
    <xf numFmtId="0" fontId="5" fillId="2" borderId="27" xfId="0" quotePrefix="1" applyFont="1" applyFill="1" applyBorder="1" applyAlignment="1">
      <alignment horizontal="center" vertical="center"/>
    </xf>
    <xf numFmtId="6" fontId="4" fillId="2" borderId="1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0" fontId="73" fillId="0" borderId="0" xfId="0" applyFont="1"/>
    <xf numFmtId="169" fontId="0" fillId="0" borderId="0" xfId="0" applyNumberFormat="1" applyFont="1" applyFill="1" applyAlignment="1">
      <alignment vertical="center"/>
    </xf>
    <xf numFmtId="0" fontId="74" fillId="0" borderId="0" xfId="0" applyFont="1"/>
    <xf numFmtId="4" fontId="0" fillId="51" borderId="57" xfId="24" applyNumberFormat="1" applyFont="1" applyFill="1" applyBorder="1" applyAlignment="1">
      <alignment horizontal="right" vertical="center"/>
    </xf>
    <xf numFmtId="41" fontId="0" fillId="2" borderId="7" xfId="24" applyNumberFormat="1" applyFont="1" applyFill="1" applyBorder="1" applyAlignment="1">
      <alignment horizontal="left" vertical="center" wrapText="1"/>
    </xf>
    <xf numFmtId="43" fontId="0" fillId="0" borderId="0" xfId="24" applyFont="1" applyFill="1" applyAlignment="1">
      <alignment vertical="center"/>
    </xf>
    <xf numFmtId="43" fontId="72" fillId="0" borderId="0" xfId="24" applyFont="1"/>
    <xf numFmtId="43" fontId="4" fillId="2" borderId="13" xfId="24" applyFont="1" applyFill="1" applyBorder="1" applyAlignment="1">
      <alignment horizontal="right" vertical="center"/>
    </xf>
    <xf numFmtId="43" fontId="74" fillId="0" borderId="0" xfId="24" applyFont="1" applyAlignment="1">
      <alignment horizontal="left" vertical="center"/>
    </xf>
    <xf numFmtId="4" fontId="64" fillId="0" borderId="0" xfId="0" applyNumberFormat="1" applyFont="1"/>
    <xf numFmtId="0" fontId="64" fillId="0" borderId="0" xfId="0" applyFont="1"/>
    <xf numFmtId="49" fontId="3" fillId="2" borderId="52" xfId="24" applyNumberFormat="1" applyFont="1" applyFill="1" applyBorder="1" applyAlignment="1">
      <alignment horizontal="left" vertical="center"/>
    </xf>
    <xf numFmtId="49" fontId="0" fillId="2" borderId="52" xfId="24" applyNumberFormat="1" applyFont="1" applyFill="1" applyBorder="1" applyAlignment="1">
      <alignment horizontal="left" vertical="center"/>
    </xf>
    <xf numFmtId="49" fontId="5" fillId="2" borderId="67" xfId="0" applyNumberFormat="1" applyFont="1" applyFill="1" applyBorder="1" applyAlignment="1">
      <alignment horizontal="left" vertical="center" wrapText="1"/>
    </xf>
    <xf numFmtId="49" fontId="5" fillId="2" borderId="68" xfId="0" applyNumberFormat="1" applyFont="1" applyFill="1" applyBorder="1" applyAlignment="1">
      <alignment horizontal="left" vertical="center" wrapText="1"/>
    </xf>
    <xf numFmtId="4" fontId="3" fillId="2" borderId="69" xfId="24" applyNumberFormat="1" applyFont="1" applyFill="1" applyBorder="1" applyAlignment="1">
      <alignment horizontal="right" vertical="center"/>
    </xf>
    <xf numFmtId="4" fontId="3" fillId="2" borderId="70" xfId="24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 vertical="center"/>
    </xf>
    <xf numFmtId="4" fontId="3" fillId="2" borderId="13" xfId="24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51" xfId="24" applyNumberFormat="1" applyFont="1" applyFill="1" applyBorder="1" applyAlignment="1">
      <alignment horizontal="center" vertical="center"/>
    </xf>
    <xf numFmtId="4" fontId="0" fillId="0" borderId="51" xfId="24" applyNumberFormat="1" applyFont="1" applyFill="1" applyBorder="1" applyAlignment="1">
      <alignment horizontal="center" vertical="center"/>
    </xf>
    <xf numFmtId="43" fontId="0" fillId="3" borderId="55" xfId="24" applyFont="1" applyFill="1" applyBorder="1"/>
    <xf numFmtId="4" fontId="0" fillId="2" borderId="28" xfId="0" applyNumberFormat="1" applyFill="1" applyBorder="1" applyAlignment="1">
      <alignment horizontal="right" vertical="center"/>
    </xf>
    <xf numFmtId="49" fontId="0" fillId="3" borderId="9" xfId="24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left" vertical="center" wrapText="1"/>
    </xf>
    <xf numFmtId="49" fontId="0" fillId="3" borderId="9" xfId="24" quotePrefix="1" applyNumberFormat="1" applyFont="1" applyFill="1" applyBorder="1" applyAlignment="1">
      <alignment horizontal="center" vertical="center"/>
    </xf>
    <xf numFmtId="49" fontId="3" fillId="3" borderId="52" xfId="24" applyNumberFormat="1" applyFont="1" applyFill="1" applyBorder="1" applyAlignment="1">
      <alignment horizontal="left" vertical="center"/>
    </xf>
    <xf numFmtId="49" fontId="3" fillId="3" borderId="9" xfId="24" applyNumberFormat="1" applyFont="1" applyFill="1" applyBorder="1" applyAlignment="1">
      <alignment horizontal="center" vertical="center"/>
    </xf>
    <xf numFmtId="49" fontId="9" fillId="2" borderId="0" xfId="281" applyNumberFormat="1" applyFont="1" applyFill="1" applyBorder="1" applyAlignment="1">
      <alignment horizontal="left"/>
    </xf>
    <xf numFmtId="169" fontId="0" fillId="2" borderId="7" xfId="0" applyNumberFormat="1" applyFill="1" applyBorder="1" applyAlignment="1">
      <alignment horizontal="right" vertical="center"/>
    </xf>
    <xf numFmtId="41" fontId="4" fillId="0" borderId="26" xfId="24" applyNumberFormat="1" applyFont="1" applyFill="1" applyBorder="1" applyAlignment="1">
      <alignment horizontal="right" vertical="center"/>
    </xf>
    <xf numFmtId="4" fontId="3" fillId="2" borderId="40" xfId="24" applyNumberFormat="1" applyFont="1" applyFill="1" applyBorder="1" applyAlignment="1">
      <alignment horizontal="right" vertical="center"/>
    </xf>
    <xf numFmtId="4" fontId="0" fillId="0" borderId="71" xfId="24" applyNumberFormat="1" applyFont="1" applyFill="1" applyBorder="1" applyAlignment="1">
      <alignment horizontal="right" vertical="center"/>
    </xf>
    <xf numFmtId="0" fontId="4" fillId="3" borderId="72" xfId="0" applyFont="1" applyFill="1" applyBorder="1" applyAlignment="1">
      <alignment horizontal="center" wrapText="1"/>
    </xf>
    <xf numFmtId="49" fontId="0" fillId="2" borderId="40" xfId="24" applyNumberFormat="1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>
      <alignment horizontal="left" vertical="center" wrapText="1"/>
    </xf>
    <xf numFmtId="49" fontId="3" fillId="2" borderId="40" xfId="24" applyNumberFormat="1" applyFont="1" applyFill="1" applyBorder="1" applyAlignment="1">
      <alignment horizontal="left" vertical="center"/>
    </xf>
    <xf numFmtId="4" fontId="0" fillId="2" borderId="40" xfId="0" applyNumberFormat="1" applyFill="1" applyBorder="1" applyAlignment="1">
      <alignment horizontal="right" vertical="center"/>
    </xf>
    <xf numFmtId="49" fontId="3" fillId="2" borderId="40" xfId="24" applyNumberFormat="1" applyFont="1" applyFill="1" applyBorder="1" applyAlignment="1">
      <alignment horizontal="center" vertical="center"/>
    </xf>
    <xf numFmtId="49" fontId="0" fillId="2" borderId="40" xfId="24" quotePrefix="1" applyNumberFormat="1" applyFont="1" applyFill="1" applyBorder="1" applyAlignment="1">
      <alignment horizontal="center" vertical="center"/>
    </xf>
    <xf numFmtId="49" fontId="0" fillId="2" borderId="40" xfId="24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>
      <alignment wrapText="1"/>
    </xf>
    <xf numFmtId="43" fontId="3" fillId="2" borderId="40" xfId="24" applyFont="1" applyFill="1" applyBorder="1" applyAlignment="1">
      <alignment horizontal="left" vertical="center"/>
    </xf>
    <xf numFmtId="43" fontId="5" fillId="2" borderId="40" xfId="24" applyFont="1" applyFill="1" applyBorder="1" applyAlignment="1">
      <alignment horizontal="left" vertical="center" wrapText="1"/>
    </xf>
    <xf numFmtId="43" fontId="0" fillId="2" borderId="40" xfId="24" applyFont="1" applyFill="1" applyBorder="1" applyAlignment="1">
      <alignment horizontal="left" vertical="center"/>
    </xf>
    <xf numFmtId="4" fontId="0" fillId="0" borderId="40" xfId="24" applyNumberFormat="1" applyFont="1" applyFill="1" applyBorder="1" applyAlignment="1">
      <alignment horizontal="right" vertical="center"/>
    </xf>
    <xf numFmtId="4" fontId="0" fillId="51" borderId="40" xfId="24" applyNumberFormat="1" applyFont="1" applyFill="1" applyBorder="1" applyAlignment="1">
      <alignment horizontal="right" vertical="center"/>
    </xf>
    <xf numFmtId="4" fontId="0" fillId="0" borderId="40" xfId="0" quotePrefix="1" applyNumberFormat="1" applyFont="1" applyFill="1" applyBorder="1" applyAlignment="1">
      <alignment horizontal="right" vertical="center" wrapText="1"/>
    </xf>
    <xf numFmtId="0" fontId="0" fillId="0" borderId="40" xfId="0" applyFill="1" applyBorder="1"/>
    <xf numFmtId="4" fontId="5" fillId="51" borderId="40" xfId="24" applyNumberFormat="1" applyFont="1" applyFill="1" applyBorder="1" applyAlignment="1">
      <alignment horizontal="right" vertical="center"/>
    </xf>
    <xf numFmtId="4" fontId="4" fillId="2" borderId="73" xfId="24" applyNumberFormat="1" applyFont="1" applyFill="1" applyBorder="1" applyAlignment="1">
      <alignment horizontal="right" vertical="center"/>
    </xf>
    <xf numFmtId="4" fontId="0" fillId="0" borderId="0" xfId="0" applyNumberFormat="1" applyBorder="1"/>
    <xf numFmtId="0" fontId="0" fillId="0" borderId="0" xfId="0" applyBorder="1"/>
    <xf numFmtId="4" fontId="4" fillId="2" borderId="74" xfId="24" applyNumberFormat="1" applyFont="1" applyFill="1" applyBorder="1" applyAlignment="1">
      <alignment horizontal="right" vertical="center"/>
    </xf>
    <xf numFmtId="41" fontId="4" fillId="0" borderId="40" xfId="24" applyNumberFormat="1" applyFont="1" applyFill="1" applyBorder="1" applyAlignment="1">
      <alignment horizontal="right" vertical="center"/>
    </xf>
    <xf numFmtId="41" fontId="4" fillId="2" borderId="40" xfId="24" applyNumberFormat="1" applyFont="1" applyFill="1" applyBorder="1" applyAlignment="1">
      <alignment horizontal="left" vertical="center"/>
    </xf>
    <xf numFmtId="41" fontId="4" fillId="2" borderId="40" xfId="24" applyNumberFormat="1" applyFont="1" applyFill="1" applyBorder="1" applyAlignment="1">
      <alignment horizontal="right" vertical="center"/>
    </xf>
    <xf numFmtId="4" fontId="4" fillId="2" borderId="40" xfId="24" applyNumberFormat="1" applyFont="1" applyFill="1" applyBorder="1" applyAlignment="1">
      <alignment horizontal="right" vertical="center"/>
    </xf>
    <xf numFmtId="0" fontId="0" fillId="2" borderId="75" xfId="0" applyFill="1" applyBorder="1"/>
    <xf numFmtId="49" fontId="0" fillId="2" borderId="75" xfId="24" applyNumberFormat="1" applyFont="1" applyFill="1" applyBorder="1" applyAlignment="1">
      <alignment horizontal="center" vertical="center"/>
    </xf>
    <xf numFmtId="49" fontId="3" fillId="2" borderId="75" xfId="24" applyNumberFormat="1" applyFont="1" applyFill="1" applyBorder="1" applyAlignment="1">
      <alignment horizontal="left" vertical="center"/>
    </xf>
    <xf numFmtId="43" fontId="3" fillId="2" borderId="75" xfId="24" applyFont="1" applyFill="1" applyBorder="1" applyAlignment="1">
      <alignment horizontal="left" vertical="center"/>
    </xf>
    <xf numFmtId="4" fontId="3" fillId="2" borderId="75" xfId="24" applyNumberFormat="1" applyFont="1" applyFill="1" applyBorder="1" applyAlignment="1">
      <alignment horizontal="right" vertical="center"/>
    </xf>
    <xf numFmtId="0" fontId="0" fillId="0" borderId="41" xfId="0" applyFill="1" applyBorder="1"/>
    <xf numFmtId="41" fontId="0" fillId="0" borderId="40" xfId="24" applyNumberFormat="1" applyFont="1" applyFill="1" applyBorder="1" applyAlignment="1">
      <alignment horizontal="right" vertical="center"/>
    </xf>
    <xf numFmtId="41" fontId="0" fillId="51" borderId="40" xfId="24" applyNumberFormat="1" applyFont="1" applyFill="1" applyBorder="1" applyAlignment="1">
      <alignment horizontal="right" vertical="center"/>
    </xf>
    <xf numFmtId="49" fontId="3" fillId="2" borderId="40" xfId="24" quotePrefix="1" applyNumberFormat="1" applyFont="1" applyFill="1" applyBorder="1" applyAlignment="1">
      <alignment horizontal="center" vertical="center"/>
    </xf>
    <xf numFmtId="49" fontId="3" fillId="2" borderId="40" xfId="24" quotePrefix="1" applyNumberFormat="1" applyFont="1" applyFill="1" applyBorder="1" applyAlignment="1">
      <alignment horizontal="left" vertical="center"/>
    </xf>
    <xf numFmtId="0" fontId="0" fillId="2" borderId="40" xfId="0" quotePrefix="1" applyFill="1" applyBorder="1" applyAlignment="1">
      <alignment wrapText="1"/>
    </xf>
    <xf numFmtId="41" fontId="5" fillId="53" borderId="28" xfId="0" applyNumberFormat="1" applyFont="1" applyFill="1" applyBorder="1" applyAlignment="1">
      <alignment horizontal="right" vertical="center"/>
    </xf>
    <xf numFmtId="43" fontId="0" fillId="0" borderId="30" xfId="24" applyFont="1" applyFill="1" applyBorder="1" applyAlignment="1">
      <alignment horizontal="right" vertical="center"/>
    </xf>
    <xf numFmtId="43" fontId="0" fillId="0" borderId="0" xfId="24" applyFont="1" applyFill="1" applyBorder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43" fontId="0" fillId="0" borderId="0" xfId="24" applyFont="1" applyFill="1" applyAlignment="1">
      <alignment horizontal="right" vertical="center"/>
    </xf>
    <xf numFmtId="43" fontId="0" fillId="0" borderId="65" xfId="24" applyFont="1" applyFill="1" applyBorder="1" applyAlignment="1">
      <alignment horizontal="right" vertical="center"/>
    </xf>
    <xf numFmtId="43" fontId="0" fillId="0" borderId="64" xfId="24" applyFont="1" applyFill="1" applyBorder="1" applyAlignment="1">
      <alignment horizontal="right" vertical="center"/>
    </xf>
    <xf numFmtId="43" fontId="0" fillId="0" borderId="0" xfId="24" applyFont="1" applyAlignment="1">
      <alignment horizontal="right" vertical="center"/>
    </xf>
    <xf numFmtId="0" fontId="4" fillId="2" borderId="0" xfId="0" applyFont="1" applyFill="1" applyAlignment="1">
      <alignment horizontal="center"/>
    </xf>
    <xf numFmtId="41" fontId="4" fillId="0" borderId="51" xfId="24" applyNumberFormat="1" applyFont="1" applyFill="1" applyBorder="1" applyAlignment="1">
      <alignment horizontal="center" vertical="center"/>
    </xf>
    <xf numFmtId="4" fontId="4" fillId="2" borderId="51" xfId="24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75" fillId="0" borderId="76" xfId="0" applyNumberFormat="1" applyFont="1" applyBorder="1" applyAlignment="1">
      <alignment horizontal="right" vertical="center" wrapText="1"/>
    </xf>
    <xf numFmtId="0" fontId="75" fillId="0" borderId="76" xfId="0" applyFont="1" applyBorder="1" applyAlignment="1">
      <alignment vertical="center" wrapText="1"/>
    </xf>
    <xf numFmtId="0" fontId="76" fillId="54" borderId="40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0" fillId="0" borderId="41" xfId="0" applyBorder="1" applyAlignment="1"/>
  </cellXfs>
  <cellStyles count="282">
    <cellStyle name="20% - Accent1" xfId="180" builtinId="30" customBuiltin="1"/>
    <cellStyle name="20% - Accent1 2" xfId="25" xr:uid="{00000000-0005-0000-0000-000001000000}"/>
    <cellStyle name="20% - Accent2" xfId="184" builtinId="34" customBuiltin="1"/>
    <cellStyle name="20% - Accent2 2" xfId="26" xr:uid="{00000000-0005-0000-0000-000003000000}"/>
    <cellStyle name="20% - Accent3" xfId="188" builtinId="38" customBuiltin="1"/>
    <cellStyle name="20% - Accent3 2" xfId="27" xr:uid="{00000000-0005-0000-0000-000005000000}"/>
    <cellStyle name="20% - Accent4" xfId="192" builtinId="42" customBuiltin="1"/>
    <cellStyle name="20% - Accent4 2" xfId="28" xr:uid="{00000000-0005-0000-0000-000007000000}"/>
    <cellStyle name="20% - Accent5" xfId="196" builtinId="46" customBuiltin="1"/>
    <cellStyle name="20% - Accent5 2" xfId="29" xr:uid="{00000000-0005-0000-0000-000009000000}"/>
    <cellStyle name="20% - Accent6" xfId="200" builtinId="50" customBuiltin="1"/>
    <cellStyle name="20% - Accent6 2" xfId="30" xr:uid="{00000000-0005-0000-0000-00000B000000}"/>
    <cellStyle name="40% - Accent1" xfId="181" builtinId="31" customBuiltin="1"/>
    <cellStyle name="40% - Accent1 2" xfId="31" xr:uid="{00000000-0005-0000-0000-00000D000000}"/>
    <cellStyle name="40% - Accent2" xfId="185" builtinId="35" customBuiltin="1"/>
    <cellStyle name="40% - Accent2 2" xfId="32" xr:uid="{00000000-0005-0000-0000-00000F000000}"/>
    <cellStyle name="40% - Accent3" xfId="189" builtinId="39" customBuiltin="1"/>
    <cellStyle name="40% - Accent3 2" xfId="33" xr:uid="{00000000-0005-0000-0000-000011000000}"/>
    <cellStyle name="40% - Accent4" xfId="193" builtinId="43" customBuiltin="1"/>
    <cellStyle name="40% - Accent4 2" xfId="34" xr:uid="{00000000-0005-0000-0000-000013000000}"/>
    <cellStyle name="40% - Accent5" xfId="197" builtinId="47" customBuiltin="1"/>
    <cellStyle name="40% - Accent5 2" xfId="35" xr:uid="{00000000-0005-0000-0000-000015000000}"/>
    <cellStyle name="40% - Accent6" xfId="201" builtinId="51" customBuiltin="1"/>
    <cellStyle name="40% - Accent6 2" xfId="36" xr:uid="{00000000-0005-0000-0000-000017000000}"/>
    <cellStyle name="60% - Accent1" xfId="182" builtinId="32" customBuiltin="1"/>
    <cellStyle name="60% - Accent1 2" xfId="37" xr:uid="{00000000-0005-0000-0000-000019000000}"/>
    <cellStyle name="60% - Accent2" xfId="186" builtinId="36" customBuiltin="1"/>
    <cellStyle name="60% - Accent2 2" xfId="38" xr:uid="{00000000-0005-0000-0000-00001B000000}"/>
    <cellStyle name="60% - Accent3" xfId="190" builtinId="40" customBuiltin="1"/>
    <cellStyle name="60% - Accent3 2" xfId="39" xr:uid="{00000000-0005-0000-0000-00001D000000}"/>
    <cellStyle name="60% - Accent4" xfId="194" builtinId="44" customBuiltin="1"/>
    <cellStyle name="60% - Accent4 2" xfId="40" xr:uid="{00000000-0005-0000-0000-00001F000000}"/>
    <cellStyle name="60% - Accent5" xfId="198" builtinId="48" customBuiltin="1"/>
    <cellStyle name="60% - Accent5 2" xfId="41" xr:uid="{00000000-0005-0000-0000-000021000000}"/>
    <cellStyle name="60% - Accent6" xfId="202" builtinId="52" customBuiltin="1"/>
    <cellStyle name="60% - Accent6 2" xfId="42" xr:uid="{00000000-0005-0000-0000-000023000000}"/>
    <cellStyle name="Accent1" xfId="179" builtinId="29" customBuiltin="1"/>
    <cellStyle name="Accent1 2" xfId="43" xr:uid="{00000000-0005-0000-0000-000025000000}"/>
    <cellStyle name="Accent2" xfId="183" builtinId="33" customBuiltin="1"/>
    <cellStyle name="Accent2 2" xfId="44" xr:uid="{00000000-0005-0000-0000-000027000000}"/>
    <cellStyle name="Accent3" xfId="187" builtinId="37" customBuiltin="1"/>
    <cellStyle name="Accent3 2" xfId="45" xr:uid="{00000000-0005-0000-0000-000029000000}"/>
    <cellStyle name="Accent4" xfId="191" builtinId="41" customBuiltin="1"/>
    <cellStyle name="Accent4 2" xfId="46" xr:uid="{00000000-0005-0000-0000-00002B000000}"/>
    <cellStyle name="Accent5" xfId="195" builtinId="45" customBuiltin="1"/>
    <cellStyle name="Accent5 2" xfId="47" xr:uid="{00000000-0005-0000-0000-00002D000000}"/>
    <cellStyle name="Accent6" xfId="199" builtinId="49" customBuiltin="1"/>
    <cellStyle name="Accent6 2" xfId="48" xr:uid="{00000000-0005-0000-0000-00002F000000}"/>
    <cellStyle name="Bad" xfId="168" builtinId="27" customBuiltin="1"/>
    <cellStyle name="Bad 2" xfId="49" xr:uid="{00000000-0005-0000-0000-000031000000}"/>
    <cellStyle name="Calculation" xfId="172" builtinId="22" customBuiltin="1"/>
    <cellStyle name="Calculation 2" xfId="50" xr:uid="{00000000-0005-0000-0000-000033000000}"/>
    <cellStyle name="Check Cell" xfId="174" builtinId="23" customBuiltin="1"/>
    <cellStyle name="Check Cell 2" xfId="51" xr:uid="{00000000-0005-0000-0000-000035000000}"/>
    <cellStyle name="Comma" xfId="24" builtinId="3"/>
    <cellStyle name="Comma 12" xfId="205" xr:uid="{00000000-0005-0000-0000-000037000000}"/>
    <cellStyle name="Comma 12 2" xfId="206" xr:uid="{00000000-0005-0000-0000-000038000000}"/>
    <cellStyle name="Comma 12 2 2" xfId="207" xr:uid="{00000000-0005-0000-0000-000039000000}"/>
    <cellStyle name="Comma 12 3" xfId="208" xr:uid="{00000000-0005-0000-0000-00003A000000}"/>
    <cellStyle name="Comma 2" xfId="1" xr:uid="{00000000-0005-0000-0000-00003B000000}"/>
    <cellStyle name="Comma 2 2" xfId="5" xr:uid="{00000000-0005-0000-0000-00003C000000}"/>
    <cellStyle name="Comma 2 2 2" xfId="80" xr:uid="{00000000-0005-0000-0000-00003D000000}"/>
    <cellStyle name="Comma 2 2 2 2" xfId="266" xr:uid="{00000000-0005-0000-0000-00003E000000}"/>
    <cellStyle name="Comma 2 3" xfId="6" xr:uid="{00000000-0005-0000-0000-00003F000000}"/>
    <cellStyle name="Comma 2 3 2" xfId="81" xr:uid="{00000000-0005-0000-0000-000040000000}"/>
    <cellStyle name="Comma 2 3 3" xfId="265" xr:uid="{00000000-0005-0000-0000-000041000000}"/>
    <cellStyle name="Comma 2 4" xfId="4" xr:uid="{00000000-0005-0000-0000-000042000000}"/>
    <cellStyle name="Comma 2 4 2" xfId="75" xr:uid="{00000000-0005-0000-0000-000043000000}"/>
    <cellStyle name="Comma 2 4 3" xfId="79" xr:uid="{00000000-0005-0000-0000-000044000000}"/>
    <cellStyle name="Comma 2 4 4" xfId="73" xr:uid="{00000000-0005-0000-0000-000045000000}"/>
    <cellStyle name="Comma 2 5" xfId="20" xr:uid="{00000000-0005-0000-0000-000046000000}"/>
    <cellStyle name="Comma 3" xfId="17" xr:uid="{00000000-0005-0000-0000-000047000000}"/>
    <cellStyle name="Comma 3 2" xfId="87" xr:uid="{00000000-0005-0000-0000-000048000000}"/>
    <cellStyle name="Comma 4" xfId="92" xr:uid="{00000000-0005-0000-0000-000049000000}"/>
    <cellStyle name="Comma 4 2" xfId="116" xr:uid="{00000000-0005-0000-0000-00004A000000}"/>
    <cellStyle name="Comma 5" xfId="111" xr:uid="{00000000-0005-0000-0000-00004B000000}"/>
    <cellStyle name="Comma 5 2" xfId="141" xr:uid="{00000000-0005-0000-0000-00004C000000}"/>
    <cellStyle name="Comma 6" xfId="209" xr:uid="{00000000-0005-0000-0000-00004D000000}"/>
    <cellStyle name="Comma 6 2" xfId="210" xr:uid="{00000000-0005-0000-0000-00004E000000}"/>
    <cellStyle name="Comma 8" xfId="117" xr:uid="{00000000-0005-0000-0000-00004F000000}"/>
    <cellStyle name="Comma0" xfId="93" xr:uid="{00000000-0005-0000-0000-000050000000}"/>
    <cellStyle name="Comma0 2" xfId="94" xr:uid="{00000000-0005-0000-0000-000051000000}"/>
    <cellStyle name="Currency 2" xfId="12" xr:uid="{00000000-0005-0000-0000-000052000000}"/>
    <cellStyle name="Currency 2 2" xfId="85" xr:uid="{00000000-0005-0000-0000-000053000000}"/>
    <cellStyle name="Currency 2 2 2" xfId="125" xr:uid="{00000000-0005-0000-0000-000054000000}"/>
    <cellStyle name="Currency 2 2 2 2" xfId="267" xr:uid="{00000000-0005-0000-0000-000055000000}"/>
    <cellStyle name="Currency 2 3" xfId="136" xr:uid="{00000000-0005-0000-0000-000056000000}"/>
    <cellStyle name="Currency 3" xfId="15" xr:uid="{00000000-0005-0000-0000-000057000000}"/>
    <cellStyle name="Currency 3 2" xfId="96" xr:uid="{00000000-0005-0000-0000-000058000000}"/>
    <cellStyle name="Currency 3 3" xfId="126" xr:uid="{00000000-0005-0000-0000-000059000000}"/>
    <cellStyle name="Currency 4" xfId="95" xr:uid="{00000000-0005-0000-0000-00005A000000}"/>
    <cellStyle name="Currency 4 2" xfId="137" xr:uid="{00000000-0005-0000-0000-00005B000000}"/>
    <cellStyle name="Currency 4 2 2" xfId="148" xr:uid="{00000000-0005-0000-0000-00005C000000}"/>
    <cellStyle name="Currency 4 2 3" xfId="161" xr:uid="{00000000-0005-0000-0000-00005D000000}"/>
    <cellStyle name="Currency 4 3" xfId="140" xr:uid="{00000000-0005-0000-0000-00005E000000}"/>
    <cellStyle name="Currency 4 4" xfId="156" xr:uid="{00000000-0005-0000-0000-00005F000000}"/>
    <cellStyle name="Currency 5" xfId="152" xr:uid="{00000000-0005-0000-0000-000060000000}"/>
    <cellStyle name="Currency 6" xfId="115" xr:uid="{00000000-0005-0000-0000-000061000000}"/>
    <cellStyle name="Currency 8" xfId="52" xr:uid="{00000000-0005-0000-0000-000062000000}"/>
    <cellStyle name="Explanatory Text" xfId="177" builtinId="53" customBuiltin="1"/>
    <cellStyle name="Explanatory Text 2" xfId="53" xr:uid="{00000000-0005-0000-0000-000064000000}"/>
    <cellStyle name="Good" xfId="167" builtinId="26" customBuiltin="1"/>
    <cellStyle name="Good 2" xfId="54" xr:uid="{00000000-0005-0000-0000-000066000000}"/>
    <cellStyle name="Heading 1" xfId="163" builtinId="16" customBuiltin="1"/>
    <cellStyle name="Heading 1 2" xfId="55" xr:uid="{00000000-0005-0000-0000-000068000000}"/>
    <cellStyle name="Heading 2" xfId="164" builtinId="17" customBuiltin="1"/>
    <cellStyle name="Heading 2 2" xfId="56" xr:uid="{00000000-0005-0000-0000-00006A000000}"/>
    <cellStyle name="Heading 3" xfId="165" builtinId="18" customBuiltin="1"/>
    <cellStyle name="Heading 3 2" xfId="57" xr:uid="{00000000-0005-0000-0000-00006C000000}"/>
    <cellStyle name="Heading 4" xfId="166" builtinId="19" customBuiltin="1"/>
    <cellStyle name="Heading 4 2" xfId="58" xr:uid="{00000000-0005-0000-0000-00006E000000}"/>
    <cellStyle name="Hyperlink" xfId="281" builtinId="8" customBuiltin="1"/>
    <cellStyle name="Hyperlink 2" xfId="120" xr:uid="{00000000-0005-0000-0000-000070000000}"/>
    <cellStyle name="Hyperlink 2 2" xfId="133" xr:uid="{00000000-0005-0000-0000-000071000000}"/>
    <cellStyle name="Hyperlink 2 3" xfId="151" xr:uid="{00000000-0005-0000-0000-000072000000}"/>
    <cellStyle name="Hyperlink 3" xfId="131" xr:uid="{00000000-0005-0000-0000-000073000000}"/>
    <cellStyle name="Hyperlink 4" xfId="157" xr:uid="{00000000-0005-0000-0000-000074000000}"/>
    <cellStyle name="Input" xfId="170" builtinId="20" customBuiltin="1"/>
    <cellStyle name="Input 2" xfId="59" xr:uid="{00000000-0005-0000-0000-000076000000}"/>
    <cellStyle name="Linked Cell" xfId="173" builtinId="24" customBuiltin="1"/>
    <cellStyle name="Linked Cell 2" xfId="60" xr:uid="{00000000-0005-0000-0000-000078000000}"/>
    <cellStyle name="Neutral" xfId="169" builtinId="28" customBuiltin="1"/>
    <cellStyle name="Neutral 2" xfId="61" xr:uid="{00000000-0005-0000-0000-00007A000000}"/>
    <cellStyle name="Normal" xfId="0" builtinId="0"/>
    <cellStyle name="Normal 10" xfId="97" xr:uid="{00000000-0005-0000-0000-00007C000000}"/>
    <cellStyle name="Normal 10 2" xfId="204" xr:uid="{00000000-0005-0000-0000-00007D000000}"/>
    <cellStyle name="Normal 10 2 2" xfId="212" xr:uid="{00000000-0005-0000-0000-00007E000000}"/>
    <cellStyle name="Normal 10 3" xfId="211" xr:uid="{00000000-0005-0000-0000-00007F000000}"/>
    <cellStyle name="Normal 11" xfId="98" xr:uid="{00000000-0005-0000-0000-000080000000}"/>
    <cellStyle name="Normal 11 2" xfId="142" xr:uid="{00000000-0005-0000-0000-000081000000}"/>
    <cellStyle name="Normal 11 3" xfId="213" xr:uid="{00000000-0005-0000-0000-000082000000}"/>
    <cellStyle name="Normal 12" xfId="91" xr:uid="{00000000-0005-0000-0000-000083000000}"/>
    <cellStyle name="Normal 12 2" xfId="215" xr:uid="{00000000-0005-0000-0000-000084000000}"/>
    <cellStyle name="Normal 12 3" xfId="214" xr:uid="{00000000-0005-0000-0000-000085000000}"/>
    <cellStyle name="Normal 13" xfId="110" xr:uid="{00000000-0005-0000-0000-000086000000}"/>
    <cellStyle name="Normal 13 2" xfId="143" xr:uid="{00000000-0005-0000-0000-000087000000}"/>
    <cellStyle name="Normal 13 3" xfId="279" xr:uid="{00000000-0005-0000-0000-000088000000}"/>
    <cellStyle name="Normal 2" xfId="2" xr:uid="{00000000-0005-0000-0000-000089000000}"/>
    <cellStyle name="Normal 2 2" xfId="8" xr:uid="{00000000-0005-0000-0000-00008A000000}"/>
    <cellStyle name="Normal 2 2 2" xfId="69" xr:uid="{00000000-0005-0000-0000-00008B000000}"/>
    <cellStyle name="Normal 2 2 2 2" xfId="154" xr:uid="{00000000-0005-0000-0000-00008C000000}"/>
    <cellStyle name="Normal 2 2 2 3" xfId="216" xr:uid="{00000000-0005-0000-0000-00008D000000}"/>
    <cellStyle name="Normal 2 2 3" xfId="68" xr:uid="{00000000-0005-0000-0000-00008E000000}"/>
    <cellStyle name="Normal 2 2 4" xfId="99" xr:uid="{00000000-0005-0000-0000-00008F000000}"/>
    <cellStyle name="Normal 2 2 5" xfId="113" xr:uid="{00000000-0005-0000-0000-000090000000}"/>
    <cellStyle name="Normal 2 2 5 2" xfId="277" xr:uid="{00000000-0005-0000-0000-000091000000}"/>
    <cellStyle name="Normal 2 3" xfId="9" xr:uid="{00000000-0005-0000-0000-000092000000}"/>
    <cellStyle name="Normal 2 3 2" xfId="100" xr:uid="{00000000-0005-0000-0000-000093000000}"/>
    <cellStyle name="Normal 2 3 2 2" xfId="218" xr:uid="{00000000-0005-0000-0000-000094000000}"/>
    <cellStyle name="Normal 2 3 3" xfId="153" xr:uid="{00000000-0005-0000-0000-000095000000}"/>
    <cellStyle name="Normal 2 3 3 2" xfId="268" xr:uid="{00000000-0005-0000-0000-000096000000}"/>
    <cellStyle name="Normal 2 3 4" xfId="217" xr:uid="{00000000-0005-0000-0000-000097000000}"/>
    <cellStyle name="Normal 2 4" xfId="7" xr:uid="{00000000-0005-0000-0000-000098000000}"/>
    <cellStyle name="Normal 2 4 2" xfId="76" xr:uid="{00000000-0005-0000-0000-000099000000}"/>
    <cellStyle name="Normal 2 4 3" xfId="82" xr:uid="{00000000-0005-0000-0000-00009A000000}"/>
    <cellStyle name="Normal 2 4 3 2" xfId="269" xr:uid="{00000000-0005-0000-0000-00009B000000}"/>
    <cellStyle name="Normal 2 4 4" xfId="72" xr:uid="{00000000-0005-0000-0000-00009C000000}"/>
    <cellStyle name="Normal 2 4 5" xfId="101" xr:uid="{00000000-0005-0000-0000-00009D000000}"/>
    <cellStyle name="Normal 2 4 5 2" xfId="144" xr:uid="{00000000-0005-0000-0000-00009E000000}"/>
    <cellStyle name="Normal 2 5" xfId="18" xr:uid="{00000000-0005-0000-0000-00009F000000}"/>
    <cellStyle name="Normal 2 5 2" xfId="219" xr:uid="{00000000-0005-0000-0000-0000A0000000}"/>
    <cellStyle name="Normal 2 6" xfId="78" xr:uid="{00000000-0005-0000-0000-0000A1000000}"/>
    <cellStyle name="Normal 2 6 2" xfId="275" xr:uid="{00000000-0005-0000-0000-0000A2000000}"/>
    <cellStyle name="Normal 2 7" xfId="112" xr:uid="{00000000-0005-0000-0000-0000A3000000}"/>
    <cellStyle name="Normal 2 8" xfId="150" xr:uid="{00000000-0005-0000-0000-0000A4000000}"/>
    <cellStyle name="Normal 2 9" xfId="280" xr:uid="{00000000-0005-0000-0000-0000A5000000}"/>
    <cellStyle name="Normal 2_Sheet1" xfId="102" xr:uid="{00000000-0005-0000-0000-0000A6000000}"/>
    <cellStyle name="Normal 3" xfId="13" xr:uid="{00000000-0005-0000-0000-0000A7000000}"/>
    <cellStyle name="Normal 3 10" xfId="278" xr:uid="{00000000-0005-0000-0000-0000A8000000}"/>
    <cellStyle name="Normal 3 2" xfId="10" xr:uid="{00000000-0005-0000-0000-0000A9000000}"/>
    <cellStyle name="Normal 3 2 2" xfId="83" xr:uid="{00000000-0005-0000-0000-0000AA000000}"/>
    <cellStyle name="Normal 3 2 2 2" xfId="159" xr:uid="{00000000-0005-0000-0000-0000AB000000}"/>
    <cellStyle name="Normal 3 2 2 2 2" xfId="220" xr:uid="{00000000-0005-0000-0000-0000AC000000}"/>
    <cellStyle name="Normal 3 2 3" xfId="104" xr:uid="{00000000-0005-0000-0000-0000AD000000}"/>
    <cellStyle name="Normal 3 2 3 2" xfId="221" xr:uid="{00000000-0005-0000-0000-0000AE000000}"/>
    <cellStyle name="Normal 3 2 4" xfId="134" xr:uid="{00000000-0005-0000-0000-0000AF000000}"/>
    <cellStyle name="Normal 3 2 4 2" xfId="271" xr:uid="{00000000-0005-0000-0000-0000B0000000}"/>
    <cellStyle name="Normal 3 3" xfId="11" xr:uid="{00000000-0005-0000-0000-0000B1000000}"/>
    <cellStyle name="Normal 3 3 2" xfId="84" xr:uid="{00000000-0005-0000-0000-0000B2000000}"/>
    <cellStyle name="Normal 3 3 2 2" xfId="158" xr:uid="{00000000-0005-0000-0000-0000B3000000}"/>
    <cellStyle name="Normal 3 3 2 2 2" xfId="222" xr:uid="{00000000-0005-0000-0000-0000B4000000}"/>
    <cellStyle name="Normal 3 3 3" xfId="132" xr:uid="{00000000-0005-0000-0000-0000B5000000}"/>
    <cellStyle name="Normal 3 3 3 2" xfId="223" xr:uid="{00000000-0005-0000-0000-0000B6000000}"/>
    <cellStyle name="Normal 3 3 4" xfId="272" xr:uid="{00000000-0005-0000-0000-0000B7000000}"/>
    <cellStyle name="Normal 3 4" xfId="19" xr:uid="{00000000-0005-0000-0000-0000B8000000}"/>
    <cellStyle name="Normal 3 4 2" xfId="127" xr:uid="{00000000-0005-0000-0000-0000B9000000}"/>
    <cellStyle name="Normal 3 4 2 2" xfId="226" xr:uid="{00000000-0005-0000-0000-0000BA000000}"/>
    <cellStyle name="Normal 3 4 2 3" xfId="225" xr:uid="{00000000-0005-0000-0000-0000BB000000}"/>
    <cellStyle name="Normal 3 4 3" xfId="227" xr:uid="{00000000-0005-0000-0000-0000BC000000}"/>
    <cellStyle name="Normal 3 4 4" xfId="224" xr:uid="{00000000-0005-0000-0000-0000BD000000}"/>
    <cellStyle name="Normal 3 5" xfId="77" xr:uid="{00000000-0005-0000-0000-0000BE000000}"/>
    <cellStyle name="Normal 3 5 2" xfId="229" xr:uid="{00000000-0005-0000-0000-0000BF000000}"/>
    <cellStyle name="Normal 3 5 2 2" xfId="230" xr:uid="{00000000-0005-0000-0000-0000C0000000}"/>
    <cellStyle name="Normal 3 5 3" xfId="231" xr:uid="{00000000-0005-0000-0000-0000C1000000}"/>
    <cellStyle name="Normal 3 5 4" xfId="228" xr:uid="{00000000-0005-0000-0000-0000C2000000}"/>
    <cellStyle name="Normal 3 6" xfId="71" xr:uid="{00000000-0005-0000-0000-0000C3000000}"/>
    <cellStyle name="Normal 3 6 2" xfId="233" xr:uid="{00000000-0005-0000-0000-0000C4000000}"/>
    <cellStyle name="Normal 3 6 3" xfId="232" xr:uid="{00000000-0005-0000-0000-0000C5000000}"/>
    <cellStyle name="Normal 3 7" xfId="103" xr:uid="{00000000-0005-0000-0000-0000C6000000}"/>
    <cellStyle name="Normal 3 7 2" xfId="234" xr:uid="{00000000-0005-0000-0000-0000C7000000}"/>
    <cellStyle name="Normal 3 8" xfId="264" xr:uid="{00000000-0005-0000-0000-0000C8000000}"/>
    <cellStyle name="Normal 3 9" xfId="270" xr:uid="{00000000-0005-0000-0000-0000C9000000}"/>
    <cellStyle name="Normal 4" xfId="14" xr:uid="{00000000-0005-0000-0000-0000CA000000}"/>
    <cellStyle name="Normal 4 2" xfId="21" xr:uid="{00000000-0005-0000-0000-0000CB000000}"/>
    <cellStyle name="Normal 4 2 2" xfId="89" xr:uid="{00000000-0005-0000-0000-0000CC000000}"/>
    <cellStyle name="Normal 4 2 2 2" xfId="237" xr:uid="{00000000-0005-0000-0000-0000CD000000}"/>
    <cellStyle name="Normal 4 2 2 3" xfId="236" xr:uid="{00000000-0005-0000-0000-0000CE000000}"/>
    <cellStyle name="Normal 4 2 3" xfId="106" xr:uid="{00000000-0005-0000-0000-0000CF000000}"/>
    <cellStyle name="Normal 4 2 3 2" xfId="238" xr:uid="{00000000-0005-0000-0000-0000D0000000}"/>
    <cellStyle name="Normal 4 2 4" xfId="135" xr:uid="{00000000-0005-0000-0000-0000D1000000}"/>
    <cellStyle name="Normal 4 2 4 2" xfId="273" xr:uid="{00000000-0005-0000-0000-0000D2000000}"/>
    <cellStyle name="Normal 4 2 5" xfId="235" xr:uid="{00000000-0005-0000-0000-0000D3000000}"/>
    <cellStyle name="Normal 4 3" xfId="86" xr:uid="{00000000-0005-0000-0000-0000D4000000}"/>
    <cellStyle name="Normal 4 3 2" xfId="128" xr:uid="{00000000-0005-0000-0000-0000D5000000}"/>
    <cellStyle name="Normal 4 3 2 2" xfId="241" xr:uid="{00000000-0005-0000-0000-0000D6000000}"/>
    <cellStyle name="Normal 4 3 2 3" xfId="240" xr:uid="{00000000-0005-0000-0000-0000D7000000}"/>
    <cellStyle name="Normal 4 3 3" xfId="242" xr:uid="{00000000-0005-0000-0000-0000D8000000}"/>
    <cellStyle name="Normal 4 3 4" xfId="239" xr:uid="{00000000-0005-0000-0000-0000D9000000}"/>
    <cellStyle name="Normal 4 4" xfId="70" xr:uid="{00000000-0005-0000-0000-0000DA000000}"/>
    <cellStyle name="Normal 4 4 2" xfId="244" xr:uid="{00000000-0005-0000-0000-0000DB000000}"/>
    <cellStyle name="Normal 4 4 2 2" xfId="245" xr:uid="{00000000-0005-0000-0000-0000DC000000}"/>
    <cellStyle name="Normal 4 4 3" xfId="246" xr:uid="{00000000-0005-0000-0000-0000DD000000}"/>
    <cellStyle name="Normal 4 4 4" xfId="243" xr:uid="{00000000-0005-0000-0000-0000DE000000}"/>
    <cellStyle name="Normal 4 5" xfId="105" xr:uid="{00000000-0005-0000-0000-0000DF000000}"/>
    <cellStyle name="Normal 4 5 2" xfId="248" xr:uid="{00000000-0005-0000-0000-0000E0000000}"/>
    <cellStyle name="Normal 4 5 2 2" xfId="249" xr:uid="{00000000-0005-0000-0000-0000E1000000}"/>
    <cellStyle name="Normal 4 5 3" xfId="250" xr:uid="{00000000-0005-0000-0000-0000E2000000}"/>
    <cellStyle name="Normal 4 5 4" xfId="247" xr:uid="{00000000-0005-0000-0000-0000E3000000}"/>
    <cellStyle name="Normal 4 6" xfId="121" xr:uid="{00000000-0005-0000-0000-0000E4000000}"/>
    <cellStyle name="Normal 4 6 2" xfId="251" xr:uid="{00000000-0005-0000-0000-0000E5000000}"/>
    <cellStyle name="Normal 4 7" xfId="252" xr:uid="{00000000-0005-0000-0000-0000E6000000}"/>
    <cellStyle name="Normal 4 8" xfId="276" xr:uid="{00000000-0005-0000-0000-0000E7000000}"/>
    <cellStyle name="Normal 4 9" xfId="203" xr:uid="{00000000-0005-0000-0000-0000E8000000}"/>
    <cellStyle name="Normal 5" xfId="16" xr:uid="{00000000-0005-0000-0000-0000E9000000}"/>
    <cellStyle name="Normal 5 2" xfId="22" xr:uid="{00000000-0005-0000-0000-0000EA000000}"/>
    <cellStyle name="Normal 5 2 2" xfId="274" xr:uid="{00000000-0005-0000-0000-0000EB000000}"/>
    <cellStyle name="Normal 5 3" xfId="129" xr:uid="{00000000-0005-0000-0000-0000EC000000}"/>
    <cellStyle name="Normal 5 3 2" xfId="146" xr:uid="{00000000-0005-0000-0000-0000ED000000}"/>
    <cellStyle name="Normal 5 4" xfId="253" xr:uid="{00000000-0005-0000-0000-0000EE000000}"/>
    <cellStyle name="Normal 6" xfId="62" xr:uid="{00000000-0005-0000-0000-0000EF000000}"/>
    <cellStyle name="Normal 6 2" xfId="107" xr:uid="{00000000-0005-0000-0000-0000F0000000}"/>
    <cellStyle name="Normal 6 2 2" xfId="124" xr:uid="{00000000-0005-0000-0000-0000F1000000}"/>
    <cellStyle name="Normal 6 2 2 2" xfId="256" xr:uid="{00000000-0005-0000-0000-0000F2000000}"/>
    <cellStyle name="Normal 6 2 3" xfId="255" xr:uid="{00000000-0005-0000-0000-0000F3000000}"/>
    <cellStyle name="Normal 6 3" xfId="257" xr:uid="{00000000-0005-0000-0000-0000F4000000}"/>
    <cellStyle name="Normal 6 4" xfId="254" xr:uid="{00000000-0005-0000-0000-0000F5000000}"/>
    <cellStyle name="Normal 7" xfId="108" xr:uid="{00000000-0005-0000-0000-0000F6000000}"/>
    <cellStyle name="Normal 7 2" xfId="114" xr:uid="{00000000-0005-0000-0000-0000F7000000}"/>
    <cellStyle name="Normal 7 2 2" xfId="160" xr:uid="{00000000-0005-0000-0000-0000F8000000}"/>
    <cellStyle name="Normal 7 2 2 2" xfId="260" xr:uid="{00000000-0005-0000-0000-0000F9000000}"/>
    <cellStyle name="Normal 7 2 3" xfId="259" xr:uid="{00000000-0005-0000-0000-0000FA000000}"/>
    <cellStyle name="Normal 7 3" xfId="122" xr:uid="{00000000-0005-0000-0000-0000FB000000}"/>
    <cellStyle name="Normal 7 3 2" xfId="145" xr:uid="{00000000-0005-0000-0000-0000FC000000}"/>
    <cellStyle name="Normal 7 3 3" xfId="261" xr:uid="{00000000-0005-0000-0000-0000FD000000}"/>
    <cellStyle name="Normal 7 4" xfId="155" xr:uid="{00000000-0005-0000-0000-0000FE000000}"/>
    <cellStyle name="Normal 7 4 2" xfId="258" xr:uid="{00000000-0005-0000-0000-0000FF000000}"/>
    <cellStyle name="Normal 8" xfId="90" xr:uid="{00000000-0005-0000-0000-000000010000}"/>
    <cellStyle name="Normal 8 2" xfId="149" xr:uid="{00000000-0005-0000-0000-000001010000}"/>
    <cellStyle name="Normal 8 2 2" xfId="262" xr:uid="{00000000-0005-0000-0000-000002010000}"/>
    <cellStyle name="Normal 9" xfId="109" xr:uid="{00000000-0005-0000-0000-000003010000}"/>
    <cellStyle name="Normal 9 2" xfId="263" xr:uid="{00000000-0005-0000-0000-000004010000}"/>
    <cellStyle name="Note" xfId="176" builtinId="10" customBuiltin="1"/>
    <cellStyle name="Note 2" xfId="63" xr:uid="{00000000-0005-0000-0000-000006010000}"/>
    <cellStyle name="Output" xfId="171" builtinId="21" customBuiltin="1"/>
    <cellStyle name="Output 2" xfId="64" xr:uid="{00000000-0005-0000-0000-000008010000}"/>
    <cellStyle name="Percent 2" xfId="3" xr:uid="{00000000-0005-0000-0000-000009010000}"/>
    <cellStyle name="Percent 2 2" xfId="23" xr:uid="{00000000-0005-0000-0000-00000A010000}"/>
    <cellStyle name="Percent 2 2 2" xfId="88" xr:uid="{00000000-0005-0000-0000-00000B010000}"/>
    <cellStyle name="Percent 2 2 3" xfId="130" xr:uid="{00000000-0005-0000-0000-00000C010000}"/>
    <cellStyle name="Percent 2 2 3 2" xfId="147" xr:uid="{00000000-0005-0000-0000-00000D010000}"/>
    <cellStyle name="Percent 2 2 4" xfId="139" xr:uid="{00000000-0005-0000-0000-00000E010000}"/>
    <cellStyle name="Percent 2 3" xfId="118" xr:uid="{00000000-0005-0000-0000-00000F010000}"/>
    <cellStyle name="Percent 3" xfId="74" xr:uid="{00000000-0005-0000-0000-000010010000}"/>
    <cellStyle name="Percent 3 2" xfId="119" xr:uid="{00000000-0005-0000-0000-000011010000}"/>
    <cellStyle name="Percent 4" xfId="123" xr:uid="{00000000-0005-0000-0000-000012010000}"/>
    <cellStyle name="Percent 4 2" xfId="138" xr:uid="{00000000-0005-0000-0000-000013010000}"/>
    <cellStyle name="Title" xfId="162" builtinId="15" customBuiltin="1"/>
    <cellStyle name="Title 2" xfId="65" xr:uid="{00000000-0005-0000-0000-000015010000}"/>
    <cellStyle name="Total" xfId="178" builtinId="25" customBuiltin="1"/>
    <cellStyle name="Total 2" xfId="66" xr:uid="{00000000-0005-0000-0000-000017010000}"/>
    <cellStyle name="Warning Text" xfId="175" builtinId="11" customBuiltin="1"/>
    <cellStyle name="Warning Text 2" xfId="67" xr:uid="{00000000-0005-0000-0000-000019010000}"/>
  </cellStyles>
  <dxfs count="0"/>
  <tableStyles count="0" defaultTableStyle="TableStyleMedium9" defaultPivotStyle="PivotStyleLight16"/>
  <colors>
    <mruColors>
      <color rgb="FFCCFFCC"/>
      <color rgb="FFC4D79B"/>
      <color rgb="FFC3E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FRFF@cde.state.co.us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GFRFF@cde.state.co.us" TargetMode="External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mailto:GFRFF@cde.state.co.u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FRFF@cde.state.co.us" TargetMode="External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mailto:GFRFF@cde.state.co.us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GFRFF@cde.state.co.us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mailto:GFRFF@cde.state.co.u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FRFF@cde.state.co.u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FRFF@cde.state.co.u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GFRFF@cde.state.co.u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GFRFF@cde.state.co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0">
    <tabColor rgb="FFCCFFCC"/>
  </sheetPr>
  <dimension ref="A1:AT49"/>
  <sheetViews>
    <sheetView zoomScale="72" zoomScaleNormal="72" workbookViewId="0">
      <pane xSplit="9" ySplit="8" topLeftCell="R20" activePane="bottomRight" state="frozen"/>
      <selection activeCell="A44" sqref="A44:XFD44"/>
      <selection pane="topRight" activeCell="A44" sqref="A44:XFD44"/>
      <selection pane="bottomLeft" activeCell="A44" sqref="A44:XFD44"/>
      <selection pane="bottomRight" activeCell="U23" sqref="U23"/>
    </sheetView>
  </sheetViews>
  <sheetFormatPr defaultColWidth="8.5546875" defaultRowHeight="14.4" x14ac:dyDescent="0.3"/>
  <cols>
    <col min="1" max="1" width="8.5546875" style="65"/>
    <col min="2" max="2" width="31.5546875" style="44" customWidth="1"/>
    <col min="3" max="3" width="11.44140625" style="65" customWidth="1"/>
    <col min="4" max="4" width="30.5546875" style="44" customWidth="1"/>
    <col min="5" max="5" width="17.5546875" style="45" bestFit="1" customWidth="1"/>
    <col min="6" max="6" width="14.5546875" style="45" customWidth="1"/>
    <col min="7" max="7" width="15.6640625" style="45" customWidth="1"/>
    <col min="8" max="8" width="19.5546875" style="45" bestFit="1" customWidth="1"/>
    <col min="9" max="9" width="16.5546875" style="45" bestFit="1" customWidth="1"/>
    <col min="10" max="26" width="15.5546875" style="44" customWidth="1"/>
    <col min="27" max="28" width="21.44140625" style="44" customWidth="1"/>
    <col min="29" max="16384" width="8.5546875" style="44"/>
  </cols>
  <sheetData>
    <row r="1" spans="1:45" s="45" customFormat="1" ht="21" x14ac:dyDescent="0.4">
      <c r="A1" s="62" t="s">
        <v>0</v>
      </c>
      <c r="B1" s="53"/>
      <c r="C1" s="66" t="s">
        <v>144</v>
      </c>
      <c r="D1" s="50"/>
      <c r="E1" s="50"/>
      <c r="F1" s="50"/>
      <c r="G1" s="50"/>
      <c r="H1" s="50"/>
      <c r="I1" s="54"/>
      <c r="J1" s="53"/>
      <c r="K1" s="48"/>
      <c r="L1" s="66" t="str">
        <f>$C$1</f>
        <v>21st Century Cohort 7</v>
      </c>
      <c r="M1" s="53"/>
      <c r="N1" s="53"/>
      <c r="O1" s="48"/>
      <c r="P1" s="53"/>
      <c r="Q1" s="53"/>
      <c r="R1" s="66" t="str">
        <f>$C$1</f>
        <v>21st Century Cohort 7</v>
      </c>
      <c r="S1" s="48"/>
      <c r="T1" s="48"/>
      <c r="U1" s="53"/>
      <c r="V1" s="48"/>
      <c r="W1" s="53"/>
      <c r="X1" s="53"/>
      <c r="Y1" s="66" t="str">
        <f>$C$1</f>
        <v>21st Century Cohort 7</v>
      </c>
      <c r="Z1" s="53"/>
      <c r="AA1" s="47"/>
      <c r="AB1" s="47"/>
    </row>
    <row r="2" spans="1:45" s="3" customFormat="1" ht="21" x14ac:dyDescent="0.4">
      <c r="A2" s="47" t="s">
        <v>147</v>
      </c>
      <c r="B2" s="49"/>
      <c r="C2" s="62" t="s">
        <v>149</v>
      </c>
      <c r="D2" s="48"/>
      <c r="E2" s="48"/>
      <c r="F2" s="48"/>
      <c r="G2" s="48"/>
      <c r="H2" s="48"/>
      <c r="I2" s="15"/>
      <c r="J2" s="49"/>
      <c r="K2" s="49"/>
      <c r="L2" s="50" t="str">
        <f>"FY"&amp;$C$4</f>
        <v>FY2020-21</v>
      </c>
      <c r="M2" s="49"/>
      <c r="N2" s="49"/>
      <c r="O2" s="49"/>
      <c r="P2" s="49"/>
      <c r="Q2" s="49"/>
      <c r="R2" s="50" t="str">
        <f>"FY"&amp;$C$4</f>
        <v>FY2020-21</v>
      </c>
      <c r="S2" s="49"/>
      <c r="T2" s="49"/>
      <c r="U2" s="49"/>
      <c r="V2" s="49"/>
      <c r="W2" s="49"/>
      <c r="X2" s="49"/>
      <c r="Y2" s="50" t="str">
        <f>"FY"&amp;$C$4</f>
        <v>FY2020-21</v>
      </c>
      <c r="Z2" s="49"/>
      <c r="AA2" s="47"/>
      <c r="AB2" s="47"/>
    </row>
    <row r="3" spans="1:45" s="45" customFormat="1" ht="15.6" x14ac:dyDescent="0.3">
      <c r="A3" s="63" t="s">
        <v>1</v>
      </c>
      <c r="B3" s="53"/>
      <c r="C3" s="67">
        <v>5287</v>
      </c>
      <c r="D3" s="50"/>
      <c r="E3" s="50"/>
      <c r="F3" s="50"/>
      <c r="G3" s="50"/>
      <c r="H3" s="50"/>
      <c r="I3" s="54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54"/>
    </row>
    <row r="4" spans="1:45" s="45" customFormat="1" ht="15.6" x14ac:dyDescent="0.3">
      <c r="A4" s="63" t="s">
        <v>2</v>
      </c>
      <c r="B4" s="53"/>
      <c r="C4" s="67" t="s">
        <v>495</v>
      </c>
      <c r="D4" s="50"/>
      <c r="E4" s="50"/>
      <c r="F4" s="50"/>
      <c r="G4" s="50"/>
      <c r="H4" s="50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</row>
    <row r="5" spans="1:45" s="45" customFormat="1" ht="15.6" x14ac:dyDescent="0.3">
      <c r="A5" s="63" t="s">
        <v>469</v>
      </c>
      <c r="B5" s="53"/>
      <c r="C5" s="383" t="s">
        <v>678</v>
      </c>
      <c r="D5" s="50"/>
      <c r="E5" s="50"/>
      <c r="F5" s="50"/>
      <c r="G5" s="50"/>
      <c r="H5" s="50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2"/>
      <c r="AB5" s="52"/>
    </row>
    <row r="6" spans="1:45" s="45" customFormat="1" ht="15.6" x14ac:dyDescent="0.3">
      <c r="A6" s="63"/>
      <c r="B6" s="53"/>
      <c r="C6" s="50"/>
      <c r="D6" s="50"/>
      <c r="E6" s="50"/>
      <c r="F6" s="50"/>
      <c r="G6" s="50"/>
      <c r="H6" s="50"/>
      <c r="I6" s="52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2"/>
      <c r="AB6" s="52"/>
    </row>
    <row r="7" spans="1:45" s="45" customFormat="1" ht="24" thickBot="1" x14ac:dyDescent="0.5">
      <c r="A7" s="442"/>
      <c r="B7" s="443"/>
      <c r="C7" s="443"/>
      <c r="D7" s="443"/>
      <c r="E7" s="443"/>
      <c r="F7" s="443"/>
      <c r="G7" s="443"/>
      <c r="H7" s="444"/>
      <c r="I7" s="444"/>
      <c r="J7" s="52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2"/>
      <c r="AB7" s="52"/>
    </row>
    <row r="8" spans="1:45" ht="29.4" thickBot="1" x14ac:dyDescent="0.35">
      <c r="A8" s="11" t="s">
        <v>138</v>
      </c>
      <c r="B8" s="12" t="s">
        <v>132</v>
      </c>
      <c r="C8" s="11" t="s">
        <v>145</v>
      </c>
      <c r="D8" s="12" t="s">
        <v>43</v>
      </c>
      <c r="E8" s="13" t="s">
        <v>15</v>
      </c>
      <c r="F8" s="13" t="s">
        <v>427</v>
      </c>
      <c r="G8" s="13" t="s">
        <v>428</v>
      </c>
      <c r="H8" s="12" t="s">
        <v>16</v>
      </c>
      <c r="I8" s="29" t="s">
        <v>17</v>
      </c>
      <c r="J8" s="26" t="s">
        <v>238</v>
      </c>
      <c r="K8" s="27" t="s">
        <v>239</v>
      </c>
      <c r="L8" s="26" t="s">
        <v>240</v>
      </c>
      <c r="M8" s="27" t="s">
        <v>400</v>
      </c>
      <c r="N8" s="26" t="s">
        <v>401</v>
      </c>
      <c r="O8" s="27" t="s">
        <v>466</v>
      </c>
      <c r="P8" s="27" t="s">
        <v>496</v>
      </c>
      <c r="Q8" s="27" t="s">
        <v>497</v>
      </c>
      <c r="R8" s="27" t="s">
        <v>498</v>
      </c>
      <c r="S8" s="27" t="s">
        <v>499</v>
      </c>
      <c r="T8" s="27" t="s">
        <v>500</v>
      </c>
      <c r="U8" s="27" t="s">
        <v>501</v>
      </c>
      <c r="V8" s="26" t="s">
        <v>502</v>
      </c>
      <c r="W8" s="27" t="s">
        <v>503</v>
      </c>
      <c r="X8" s="27" t="s">
        <v>504</v>
      </c>
      <c r="Y8" s="27" t="s">
        <v>505</v>
      </c>
      <c r="Z8" s="26" t="s">
        <v>506</v>
      </c>
      <c r="AA8" s="12" t="s">
        <v>157</v>
      </c>
      <c r="AB8" s="12" t="s">
        <v>158</v>
      </c>
    </row>
    <row r="9" spans="1:45" s="37" customFormat="1" ht="15" thickBot="1" x14ac:dyDescent="0.35">
      <c r="A9" s="96" t="s">
        <v>65</v>
      </c>
      <c r="B9" s="93" t="s">
        <v>165</v>
      </c>
      <c r="C9" s="92" t="s">
        <v>96</v>
      </c>
      <c r="D9" s="93" t="s">
        <v>98</v>
      </c>
      <c r="E9" s="249">
        <v>120000</v>
      </c>
      <c r="F9" s="249">
        <v>8792.9699999999993</v>
      </c>
      <c r="G9" s="249">
        <f>SUM(E9:F9)</f>
        <v>128792.97</v>
      </c>
      <c r="H9" s="249">
        <f t="shared" ref="H9:H23" si="0">SUM(J9:AB9)</f>
        <v>108632.29000000001</v>
      </c>
      <c r="I9" s="249">
        <f>G9-H9</f>
        <v>20160.679999999993</v>
      </c>
      <c r="J9" s="259"/>
      <c r="K9" s="251"/>
      <c r="L9" s="251"/>
      <c r="M9" s="209">
        <v>7072.38</v>
      </c>
      <c r="N9" s="251">
        <v>11092.32</v>
      </c>
      <c r="O9" s="251">
        <v>8552.06</v>
      </c>
      <c r="P9" s="251">
        <v>12620.51</v>
      </c>
      <c r="Q9" s="251">
        <v>7320.81</v>
      </c>
      <c r="R9" s="251">
        <v>9533.51</v>
      </c>
      <c r="S9" s="251">
        <v>12708.46</v>
      </c>
      <c r="T9" s="251">
        <v>25725.14</v>
      </c>
      <c r="U9" s="251">
        <v>14007.1</v>
      </c>
      <c r="V9" s="251"/>
      <c r="W9" s="251"/>
      <c r="X9" s="251"/>
      <c r="Y9" s="251"/>
      <c r="Z9" s="251"/>
      <c r="AA9" s="215"/>
      <c r="AB9" s="215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</row>
    <row r="10" spans="1:45" s="37" customFormat="1" ht="90.75" customHeight="1" thickBot="1" x14ac:dyDescent="0.35">
      <c r="A10" s="96" t="s">
        <v>22</v>
      </c>
      <c r="B10" s="93" t="s">
        <v>78</v>
      </c>
      <c r="C10" s="96" t="s">
        <v>171</v>
      </c>
      <c r="D10" s="93" t="s">
        <v>180</v>
      </c>
      <c r="E10" s="249">
        <v>714021</v>
      </c>
      <c r="F10" s="249">
        <v>78986</v>
      </c>
      <c r="G10" s="249">
        <f t="shared" ref="G10:G23" si="1">SUM(E10:F10)</f>
        <v>793007</v>
      </c>
      <c r="H10" s="249">
        <f t="shared" si="0"/>
        <v>503324.38000000006</v>
      </c>
      <c r="I10" s="249">
        <f t="shared" ref="I10:I23" si="2">G10-H10</f>
        <v>289682.61999999994</v>
      </c>
      <c r="J10" s="209"/>
      <c r="K10" s="209"/>
      <c r="L10" s="209">
        <v>45731.61</v>
      </c>
      <c r="M10" s="209">
        <v>16479.259999999998</v>
      </c>
      <c r="N10" s="209">
        <v>56281.69</v>
      </c>
      <c r="O10" s="209">
        <v>47641.35</v>
      </c>
      <c r="P10" s="209">
        <v>42388.17</v>
      </c>
      <c r="Q10" s="209">
        <v>37586.35</v>
      </c>
      <c r="R10" s="209">
        <v>62553.53</v>
      </c>
      <c r="S10" s="209">
        <v>67904.259999999995</v>
      </c>
      <c r="T10" s="209">
        <v>60194.84</v>
      </c>
      <c r="U10" s="209">
        <v>66563.320000000007</v>
      </c>
      <c r="V10" s="209"/>
      <c r="W10" s="209"/>
      <c r="X10" s="209"/>
      <c r="Y10" s="209"/>
      <c r="Z10" s="209"/>
      <c r="AA10" s="215"/>
      <c r="AB10" s="215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</row>
    <row r="11" spans="1:45" s="37" customFormat="1" ht="43.8" thickBot="1" x14ac:dyDescent="0.35">
      <c r="A11" s="96" t="s">
        <v>4</v>
      </c>
      <c r="B11" s="93" t="s">
        <v>91</v>
      </c>
      <c r="C11" s="92" t="s">
        <v>172</v>
      </c>
      <c r="D11" s="93" t="s">
        <v>181</v>
      </c>
      <c r="E11" s="249">
        <f>360000-32673</f>
        <v>327327</v>
      </c>
      <c r="F11" s="249">
        <v>3844.58</v>
      </c>
      <c r="G11" s="249">
        <f t="shared" si="1"/>
        <v>331171.58</v>
      </c>
      <c r="H11" s="249">
        <f t="shared" si="0"/>
        <v>166851.15</v>
      </c>
      <c r="I11" s="249">
        <f t="shared" si="2"/>
        <v>164320.43000000002</v>
      </c>
      <c r="J11" s="209"/>
      <c r="K11" s="209"/>
      <c r="L11" s="209"/>
      <c r="M11" s="209"/>
      <c r="N11" s="209">
        <v>14251.29</v>
      </c>
      <c r="O11" s="209">
        <v>18189.54</v>
      </c>
      <c r="P11" s="209">
        <v>7796.36</v>
      </c>
      <c r="Q11" s="209">
        <v>28102.959999999999</v>
      </c>
      <c r="R11" s="209">
        <v>16716.55</v>
      </c>
      <c r="S11" s="209">
        <v>38143.339999999997</v>
      </c>
      <c r="T11" s="209">
        <v>33615.71</v>
      </c>
      <c r="U11" s="209">
        <v>10035.4</v>
      </c>
      <c r="V11" s="209"/>
      <c r="W11" s="209"/>
      <c r="X11" s="209"/>
      <c r="Y11" s="209"/>
      <c r="Z11" s="209"/>
      <c r="AA11" s="6"/>
      <c r="AB11" s="6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</row>
    <row r="12" spans="1:45" s="37" customFormat="1" ht="15" thickBot="1" x14ac:dyDescent="0.35">
      <c r="A12" s="96" t="s">
        <v>5</v>
      </c>
      <c r="B12" s="93" t="s">
        <v>166</v>
      </c>
      <c r="C12" s="92" t="s">
        <v>173</v>
      </c>
      <c r="D12" s="93" t="s">
        <v>182</v>
      </c>
      <c r="E12" s="249">
        <v>120000</v>
      </c>
      <c r="F12" s="249">
        <v>2852.19</v>
      </c>
      <c r="G12" s="249">
        <f t="shared" si="1"/>
        <v>122852.19</v>
      </c>
      <c r="H12" s="249">
        <f t="shared" si="0"/>
        <v>104417.57999999999</v>
      </c>
      <c r="I12" s="249">
        <f t="shared" si="2"/>
        <v>18434.610000000015</v>
      </c>
      <c r="J12" s="209"/>
      <c r="K12" s="209"/>
      <c r="L12" s="209"/>
      <c r="M12" s="209">
        <v>23306.31</v>
      </c>
      <c r="N12" s="209"/>
      <c r="O12" s="209">
        <v>16430.84</v>
      </c>
      <c r="P12" s="209">
        <v>13592.8</v>
      </c>
      <c r="Q12" s="209">
        <v>12164.07</v>
      </c>
      <c r="R12" s="209">
        <v>12051.06</v>
      </c>
      <c r="S12" s="209">
        <v>8057.01</v>
      </c>
      <c r="T12" s="258">
        <v>9600.93</v>
      </c>
      <c r="U12" s="209">
        <v>9214.56</v>
      </c>
      <c r="V12" s="209"/>
      <c r="W12" s="209"/>
      <c r="X12" s="209"/>
      <c r="Y12" s="209"/>
      <c r="Z12" s="209"/>
      <c r="AA12" s="215"/>
      <c r="AB12" s="215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</row>
    <row r="13" spans="1:45" s="37" customFormat="1" ht="58.2" thickBot="1" x14ac:dyDescent="0.35">
      <c r="A13" s="96" t="s">
        <v>51</v>
      </c>
      <c r="B13" s="93" t="s">
        <v>167</v>
      </c>
      <c r="C13" s="95" t="s">
        <v>174</v>
      </c>
      <c r="D13" s="93" t="s">
        <v>183</v>
      </c>
      <c r="E13" s="249">
        <v>360000</v>
      </c>
      <c r="F13" s="249">
        <v>0</v>
      </c>
      <c r="G13" s="249">
        <f t="shared" si="1"/>
        <v>360000</v>
      </c>
      <c r="H13" s="249">
        <f t="shared" si="0"/>
        <v>192158.06</v>
      </c>
      <c r="I13" s="249">
        <f t="shared" si="2"/>
        <v>167841.94</v>
      </c>
      <c r="J13" s="209"/>
      <c r="K13" s="209"/>
      <c r="L13" s="209"/>
      <c r="M13" s="209"/>
      <c r="N13" s="209"/>
      <c r="O13" s="209"/>
      <c r="P13" s="209"/>
      <c r="Q13" s="209"/>
      <c r="R13" s="209">
        <v>192158.06</v>
      </c>
      <c r="S13" s="209"/>
      <c r="T13" s="209"/>
      <c r="U13" s="209"/>
      <c r="V13" s="209"/>
      <c r="W13" s="209"/>
      <c r="X13" s="209"/>
      <c r="Y13" s="209"/>
      <c r="Z13" s="209"/>
      <c r="AA13" s="215"/>
      <c r="AB13" s="215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</row>
    <row r="14" spans="1:45" s="37" customFormat="1" ht="43.8" thickBot="1" x14ac:dyDescent="0.35">
      <c r="A14" s="96" t="s">
        <v>51</v>
      </c>
      <c r="B14" s="93" t="s">
        <v>167</v>
      </c>
      <c r="C14" s="92" t="s">
        <v>175</v>
      </c>
      <c r="D14" s="93" t="s">
        <v>184</v>
      </c>
      <c r="E14" s="249">
        <v>119968.53</v>
      </c>
      <c r="F14" s="249"/>
      <c r="G14" s="249">
        <f>SUM(E14:F14)</f>
        <v>119968.53</v>
      </c>
      <c r="H14" s="249">
        <f t="shared" si="0"/>
        <v>50185.46</v>
      </c>
      <c r="I14" s="249">
        <f t="shared" si="2"/>
        <v>69783.070000000007</v>
      </c>
      <c r="J14" s="209"/>
      <c r="K14" s="209"/>
      <c r="L14" s="209"/>
      <c r="M14" s="209"/>
      <c r="N14" s="209"/>
      <c r="O14" s="209"/>
      <c r="P14" s="209"/>
      <c r="Q14" s="209"/>
      <c r="R14" s="209">
        <v>50185.46</v>
      </c>
      <c r="S14" s="209"/>
      <c r="T14" s="209"/>
      <c r="U14" s="209"/>
      <c r="V14" s="209"/>
      <c r="W14" s="209"/>
      <c r="X14" s="209"/>
      <c r="Y14" s="209"/>
      <c r="Z14" s="209"/>
      <c r="AA14" s="215"/>
      <c r="AB14" s="215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</row>
    <row r="15" spans="1:45" s="37" customFormat="1" ht="15" thickBot="1" x14ac:dyDescent="0.35">
      <c r="A15" s="96" t="s">
        <v>29</v>
      </c>
      <c r="B15" s="93" t="s">
        <v>80</v>
      </c>
      <c r="C15" s="92" t="s">
        <v>97</v>
      </c>
      <c r="D15" s="93" t="s">
        <v>185</v>
      </c>
      <c r="E15" s="249">
        <v>120000</v>
      </c>
      <c r="F15" s="249">
        <v>18154.59</v>
      </c>
      <c r="G15" s="249">
        <f t="shared" si="1"/>
        <v>138154.59</v>
      </c>
      <c r="H15" s="249">
        <f t="shared" si="0"/>
        <v>110443.27</v>
      </c>
      <c r="I15" s="249">
        <f t="shared" si="2"/>
        <v>27711.319999999992</v>
      </c>
      <c r="J15" s="209"/>
      <c r="K15" s="209"/>
      <c r="L15" s="209"/>
      <c r="M15" s="209">
        <v>10705.53</v>
      </c>
      <c r="N15" s="209">
        <v>12366.97</v>
      </c>
      <c r="O15" s="209">
        <v>39340.6</v>
      </c>
      <c r="P15" s="209">
        <v>10807.12</v>
      </c>
      <c r="Q15" s="209">
        <v>9839.58</v>
      </c>
      <c r="R15" s="209">
        <v>12151.41</v>
      </c>
      <c r="S15" s="209">
        <v>7615.94</v>
      </c>
      <c r="T15" s="209">
        <v>7616.12</v>
      </c>
      <c r="U15" s="209"/>
      <c r="V15" s="209"/>
      <c r="W15" s="209"/>
      <c r="X15" s="209"/>
      <c r="Y15" s="209"/>
      <c r="Z15" s="209"/>
      <c r="AA15" s="215"/>
      <c r="AB15" s="215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</row>
    <row r="16" spans="1:45" s="37" customFormat="1" ht="43.8" thickBot="1" x14ac:dyDescent="0.35">
      <c r="A16" s="96" t="s">
        <v>29</v>
      </c>
      <c r="B16" s="93" t="s">
        <v>80</v>
      </c>
      <c r="C16" s="92" t="s">
        <v>176</v>
      </c>
      <c r="D16" s="93" t="s">
        <v>186</v>
      </c>
      <c r="E16" s="249">
        <v>360000</v>
      </c>
      <c r="F16" s="249">
        <v>60302</v>
      </c>
      <c r="G16" s="249">
        <f t="shared" si="1"/>
        <v>420302</v>
      </c>
      <c r="H16" s="249">
        <f t="shared" si="0"/>
        <v>179267.81999999998</v>
      </c>
      <c r="I16" s="249">
        <f t="shared" si="2"/>
        <v>241034.18000000002</v>
      </c>
      <c r="J16" s="209"/>
      <c r="K16" s="209"/>
      <c r="L16" s="209"/>
      <c r="M16" s="209">
        <f>1819.04+18383.44</f>
        <v>20202.48</v>
      </c>
      <c r="N16" s="209">
        <v>23434.06</v>
      </c>
      <c r="O16" s="209">
        <v>26410.66</v>
      </c>
      <c r="P16" s="209">
        <v>20424.64</v>
      </c>
      <c r="Q16" s="209">
        <v>15575.45</v>
      </c>
      <c r="R16" s="209">
        <v>19685.599999999999</v>
      </c>
      <c r="S16" s="209">
        <v>28343.06</v>
      </c>
      <c r="T16" s="209">
        <v>25191.87</v>
      </c>
      <c r="U16" s="209"/>
      <c r="V16" s="209"/>
      <c r="W16" s="209"/>
      <c r="X16" s="209"/>
      <c r="Y16" s="209"/>
      <c r="Z16" s="209"/>
      <c r="AA16" s="214"/>
      <c r="AB16" s="21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</row>
    <row r="17" spans="1:46" s="37" customFormat="1" ht="15" thickBot="1" x14ac:dyDescent="0.35">
      <c r="A17" s="96" t="s">
        <v>29</v>
      </c>
      <c r="B17" s="93" t="s">
        <v>80</v>
      </c>
      <c r="C17" s="92" t="s">
        <v>177</v>
      </c>
      <c r="D17" s="93" t="s">
        <v>422</v>
      </c>
      <c r="E17" s="249">
        <v>117348</v>
      </c>
      <c r="F17" s="249">
        <v>6985.34</v>
      </c>
      <c r="G17" s="249">
        <f t="shared" si="1"/>
        <v>124333.34</v>
      </c>
      <c r="H17" s="249">
        <f t="shared" si="0"/>
        <v>77280.11</v>
      </c>
      <c r="I17" s="249">
        <f t="shared" si="2"/>
        <v>47053.229999999996</v>
      </c>
      <c r="J17" s="209"/>
      <c r="K17" s="209"/>
      <c r="L17" s="209"/>
      <c r="M17" s="209">
        <v>7916.37</v>
      </c>
      <c r="N17" s="209">
        <v>11740.98</v>
      </c>
      <c r="O17" s="209">
        <v>9335.15</v>
      </c>
      <c r="P17" s="209">
        <v>7978.86</v>
      </c>
      <c r="Q17" s="209">
        <v>8296.43</v>
      </c>
      <c r="R17" s="209">
        <v>10601.11</v>
      </c>
      <c r="S17" s="209">
        <v>12626.93</v>
      </c>
      <c r="T17" s="209">
        <v>8784.2800000000007</v>
      </c>
      <c r="U17" s="209"/>
      <c r="V17" s="209"/>
      <c r="W17" s="209"/>
      <c r="X17" s="209"/>
      <c r="Y17" s="209"/>
      <c r="Z17" s="209"/>
      <c r="AA17" s="214"/>
      <c r="AB17" s="21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</row>
    <row r="18" spans="1:46" s="37" customFormat="1" ht="29.4" thickBot="1" x14ac:dyDescent="0.35">
      <c r="A18" s="96" t="s">
        <v>34</v>
      </c>
      <c r="B18" s="93" t="s">
        <v>168</v>
      </c>
      <c r="C18" s="92" t="s">
        <v>178</v>
      </c>
      <c r="D18" s="93" t="s">
        <v>187</v>
      </c>
      <c r="E18" s="249">
        <v>113086</v>
      </c>
      <c r="F18" s="249">
        <v>4298</v>
      </c>
      <c r="G18" s="249">
        <f t="shared" si="1"/>
        <v>117384</v>
      </c>
      <c r="H18" s="249">
        <f t="shared" si="0"/>
        <v>117383.75</v>
      </c>
      <c r="I18" s="249">
        <f t="shared" si="2"/>
        <v>0.25</v>
      </c>
      <c r="J18" s="209"/>
      <c r="K18" s="209"/>
      <c r="L18" s="209"/>
      <c r="M18" s="209"/>
      <c r="N18" s="209"/>
      <c r="O18" s="209"/>
      <c r="P18" s="209">
        <v>4298</v>
      </c>
      <c r="Q18" s="209">
        <f>13323.83+20507.64</f>
        <v>33831.47</v>
      </c>
      <c r="R18" s="209">
        <v>27846.17</v>
      </c>
      <c r="S18" s="209">
        <v>26913.21</v>
      </c>
      <c r="T18" s="250">
        <v>5395.23</v>
      </c>
      <c r="U18" s="209">
        <v>19099.669999999998</v>
      </c>
      <c r="V18" s="209"/>
      <c r="W18" s="209"/>
      <c r="X18" s="209"/>
      <c r="Y18" s="209"/>
      <c r="Z18" s="209"/>
      <c r="AA18" s="215"/>
      <c r="AB18" s="215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</row>
    <row r="19" spans="1:46" s="37" customFormat="1" ht="43.8" thickBot="1" x14ac:dyDescent="0.35">
      <c r="A19" s="96" t="s">
        <v>28</v>
      </c>
      <c r="B19" s="93" t="s">
        <v>84</v>
      </c>
      <c r="C19" s="92" t="s">
        <v>179</v>
      </c>
      <c r="D19" s="93" t="s">
        <v>188</v>
      </c>
      <c r="E19" s="249">
        <v>312000</v>
      </c>
      <c r="F19" s="249">
        <v>22784.17</v>
      </c>
      <c r="G19" s="249">
        <f t="shared" si="1"/>
        <v>334784.17</v>
      </c>
      <c r="H19" s="249">
        <f t="shared" si="0"/>
        <v>241111.61000000004</v>
      </c>
      <c r="I19" s="249">
        <f t="shared" si="2"/>
        <v>93672.559999999939</v>
      </c>
      <c r="J19" s="209"/>
      <c r="K19" s="209"/>
      <c r="L19" s="209"/>
      <c r="M19" s="209"/>
      <c r="N19" s="209">
        <v>15639.39</v>
      </c>
      <c r="O19" s="209">
        <v>34624.65</v>
      </c>
      <c r="P19" s="209">
        <v>34202.46</v>
      </c>
      <c r="Q19" s="209">
        <v>6874.21</v>
      </c>
      <c r="R19" s="209">
        <f>6863.56+42699.37</f>
        <v>49562.93</v>
      </c>
      <c r="S19" s="209">
        <v>17670.330000000002</v>
      </c>
      <c r="T19" s="209">
        <v>37044.47</v>
      </c>
      <c r="U19" s="209">
        <v>45493.17</v>
      </c>
      <c r="V19" s="209"/>
      <c r="W19" s="209"/>
      <c r="X19" s="209"/>
      <c r="Y19" s="209"/>
      <c r="Z19" s="209"/>
      <c r="AA19" s="215"/>
      <c r="AB19" s="21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</row>
    <row r="20" spans="1:46" s="37" customFormat="1" ht="43.8" thickBot="1" x14ac:dyDescent="0.35">
      <c r="A20" s="95" t="s">
        <v>94</v>
      </c>
      <c r="B20" s="93" t="s">
        <v>169</v>
      </c>
      <c r="C20" s="97" t="s">
        <v>94</v>
      </c>
      <c r="D20" s="93" t="s">
        <v>189</v>
      </c>
      <c r="E20" s="249">
        <v>359758</v>
      </c>
      <c r="F20" s="249">
        <v>15324</v>
      </c>
      <c r="G20" s="249">
        <f t="shared" si="1"/>
        <v>375082</v>
      </c>
      <c r="H20" s="249">
        <f t="shared" si="0"/>
        <v>293386.28000000003</v>
      </c>
      <c r="I20" s="249">
        <f t="shared" si="2"/>
        <v>81695.719999999972</v>
      </c>
      <c r="J20" s="209"/>
      <c r="K20" s="209"/>
      <c r="L20" s="209"/>
      <c r="M20" s="209"/>
      <c r="N20" s="209">
        <f>24489.65+25914.5</f>
        <v>50404.15</v>
      </c>
      <c r="O20" s="209"/>
      <c r="P20" s="209"/>
      <c r="Q20" s="209">
        <f>36216.8+67345.6+11756.47</f>
        <v>115318.87000000001</v>
      </c>
      <c r="R20" s="209">
        <v>34823.25</v>
      </c>
      <c r="S20" s="209">
        <v>40917.54</v>
      </c>
      <c r="T20" s="209">
        <v>51922.47</v>
      </c>
      <c r="U20" s="209"/>
      <c r="V20" s="209"/>
      <c r="W20" s="209"/>
      <c r="X20" s="209"/>
      <c r="Y20" s="209"/>
      <c r="Z20" s="209"/>
      <c r="AA20" s="215"/>
      <c r="AB20" s="215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</row>
    <row r="21" spans="1:46" s="37" customFormat="1" ht="29.4" thickBot="1" x14ac:dyDescent="0.35">
      <c r="A21" s="95" t="s">
        <v>72</v>
      </c>
      <c r="B21" s="93" t="s">
        <v>170</v>
      </c>
      <c r="C21" s="97" t="s">
        <v>72</v>
      </c>
      <c r="D21" s="93" t="s">
        <v>190</v>
      </c>
      <c r="E21" s="249">
        <f>69787-4117</f>
        <v>65670</v>
      </c>
      <c r="F21" s="249">
        <v>43</v>
      </c>
      <c r="G21" s="249">
        <f t="shared" si="1"/>
        <v>65713</v>
      </c>
      <c r="H21" s="249">
        <f t="shared" si="0"/>
        <v>55948.229999999996</v>
      </c>
      <c r="I21" s="249">
        <f t="shared" si="2"/>
        <v>9764.7700000000041</v>
      </c>
      <c r="J21" s="209"/>
      <c r="K21" s="209"/>
      <c r="L21" s="209">
        <f>(2469.08+3387.05)</f>
        <v>5856.13</v>
      </c>
      <c r="M21" s="209"/>
      <c r="N21" s="209"/>
      <c r="O21" s="209"/>
      <c r="P21" s="209">
        <f>4938.56+4027.4</f>
        <v>8965.9600000000009</v>
      </c>
      <c r="Q21" s="209"/>
      <c r="R21" s="209">
        <f>5795.76+6422.5</f>
        <v>12218.26</v>
      </c>
      <c r="S21" s="209">
        <v>4232.0200000000004</v>
      </c>
      <c r="T21" s="209">
        <v>4256.47</v>
      </c>
      <c r="U21" s="209">
        <v>20419.39</v>
      </c>
      <c r="V21" s="209"/>
      <c r="W21" s="209"/>
      <c r="X21" s="209"/>
      <c r="Y21" s="209"/>
      <c r="Z21" s="209"/>
      <c r="AA21" s="215"/>
      <c r="AB21" s="215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</row>
    <row r="22" spans="1:46" s="37" customFormat="1" ht="29.4" thickBot="1" x14ac:dyDescent="0.35">
      <c r="A22" s="95" t="s">
        <v>95</v>
      </c>
      <c r="B22" s="93" t="s">
        <v>475</v>
      </c>
      <c r="C22" s="97" t="s">
        <v>95</v>
      </c>
      <c r="D22" s="93" t="s">
        <v>99</v>
      </c>
      <c r="E22" s="249">
        <v>80000</v>
      </c>
      <c r="F22" s="249">
        <v>12938</v>
      </c>
      <c r="G22" s="249">
        <f t="shared" si="1"/>
        <v>92938</v>
      </c>
      <c r="H22" s="249">
        <f t="shared" si="0"/>
        <v>52786</v>
      </c>
      <c r="I22" s="249">
        <f t="shared" si="2"/>
        <v>40152</v>
      </c>
      <c r="J22" s="209"/>
      <c r="K22" s="209"/>
      <c r="L22" s="209"/>
      <c r="M22" s="209">
        <v>1915</v>
      </c>
      <c r="N22" s="209"/>
      <c r="O22" s="209">
        <v>1743</v>
      </c>
      <c r="P22" s="209">
        <v>8351</v>
      </c>
      <c r="Q22" s="209"/>
      <c r="R22" s="209">
        <f>8674+29368</f>
        <v>38042</v>
      </c>
      <c r="S22" s="209"/>
      <c r="T22" s="209">
        <v>2735</v>
      </c>
      <c r="U22" s="209"/>
      <c r="V22" s="209"/>
      <c r="W22" s="209"/>
      <c r="X22" s="209"/>
      <c r="Y22" s="209"/>
      <c r="Z22" s="209"/>
      <c r="AA22" s="215"/>
      <c r="AB22" s="215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</row>
    <row r="23" spans="1:46" s="37" customFormat="1" ht="58.2" thickBot="1" x14ac:dyDescent="0.35">
      <c r="A23" s="95" t="s">
        <v>14</v>
      </c>
      <c r="B23" s="93" t="s">
        <v>24</v>
      </c>
      <c r="C23" s="97" t="s">
        <v>14</v>
      </c>
      <c r="D23" s="93" t="s">
        <v>191</v>
      </c>
      <c r="E23" s="249">
        <v>280000</v>
      </c>
      <c r="F23" s="249">
        <v>20224</v>
      </c>
      <c r="G23" s="249">
        <f t="shared" si="1"/>
        <v>300224</v>
      </c>
      <c r="H23" s="249">
        <f t="shared" si="0"/>
        <v>193012</v>
      </c>
      <c r="I23" s="249">
        <f t="shared" si="2"/>
        <v>107212</v>
      </c>
      <c r="J23" s="209"/>
      <c r="K23" s="209"/>
      <c r="L23" s="209"/>
      <c r="M23" s="209"/>
      <c r="N23" s="209">
        <v>44422</v>
      </c>
      <c r="O23" s="209">
        <f>6407+11967</f>
        <v>18374</v>
      </c>
      <c r="P23" s="209">
        <f>14585+18522</f>
        <v>33107</v>
      </c>
      <c r="Q23" s="209"/>
      <c r="R23" s="209">
        <f>18522+7528</f>
        <v>26050</v>
      </c>
      <c r="S23" s="209">
        <f>12120+19849</f>
        <v>31969</v>
      </c>
      <c r="T23" s="209">
        <v>19545</v>
      </c>
      <c r="U23" s="209">
        <v>19545</v>
      </c>
      <c r="V23" s="209"/>
      <c r="W23" s="209"/>
      <c r="X23" s="209"/>
      <c r="Y23" s="209"/>
      <c r="Z23" s="209"/>
      <c r="AA23" s="214"/>
      <c r="AB23" s="21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</row>
    <row r="24" spans="1:46" s="37" customFormat="1" ht="15" thickBot="1" x14ac:dyDescent="0.35">
      <c r="A24" s="98" t="s">
        <v>46</v>
      </c>
      <c r="B24" s="43"/>
      <c r="C24" s="64"/>
      <c r="D24" s="43"/>
      <c r="E24" s="252">
        <f>SUM(E2:E23)</f>
        <v>3569178.5300000003</v>
      </c>
      <c r="F24" s="252">
        <f>SUM(F2:F23)</f>
        <v>255528.84000000003</v>
      </c>
      <c r="G24" s="252">
        <f>SUM(G9:G23)</f>
        <v>3824707.37</v>
      </c>
      <c r="H24" s="252">
        <f t="shared" ref="H24:AT24" si="3">SUM(H9:H23)</f>
        <v>2446187.9900000002</v>
      </c>
      <c r="I24" s="252">
        <f t="shared" si="3"/>
        <v>1378519.3800000001</v>
      </c>
      <c r="J24" s="253">
        <f t="shared" si="3"/>
        <v>0</v>
      </c>
      <c r="K24" s="253">
        <f t="shared" si="3"/>
        <v>0</v>
      </c>
      <c r="L24" s="253">
        <f t="shared" si="3"/>
        <v>51587.74</v>
      </c>
      <c r="M24" s="253">
        <f t="shared" si="3"/>
        <v>87597.329999999987</v>
      </c>
      <c r="N24" s="253">
        <f t="shared" si="3"/>
        <v>239632.85</v>
      </c>
      <c r="O24" s="253">
        <f t="shared" si="3"/>
        <v>220641.84999999998</v>
      </c>
      <c r="P24" s="253">
        <f t="shared" si="3"/>
        <v>204532.87999999998</v>
      </c>
      <c r="Q24" s="253">
        <f t="shared" si="3"/>
        <v>274910.2</v>
      </c>
      <c r="R24" s="253">
        <f t="shared" si="3"/>
        <v>574178.89999999991</v>
      </c>
      <c r="S24" s="253">
        <f t="shared" si="3"/>
        <v>297101.09999999998</v>
      </c>
      <c r="T24" s="253">
        <f t="shared" si="3"/>
        <v>291627.52999999997</v>
      </c>
      <c r="U24" s="253">
        <f t="shared" si="3"/>
        <v>204377.61</v>
      </c>
      <c r="V24" s="253">
        <f t="shared" si="3"/>
        <v>0</v>
      </c>
      <c r="W24" s="253">
        <f t="shared" si="3"/>
        <v>0</v>
      </c>
      <c r="X24" s="253">
        <f t="shared" si="3"/>
        <v>0</v>
      </c>
      <c r="Y24" s="253">
        <f t="shared" si="3"/>
        <v>0</v>
      </c>
      <c r="Z24" s="253">
        <f t="shared" si="3"/>
        <v>0</v>
      </c>
      <c r="AA24" s="253">
        <f t="shared" si="3"/>
        <v>0</v>
      </c>
      <c r="AB24" s="253">
        <f t="shared" si="3"/>
        <v>0</v>
      </c>
      <c r="AC24" s="253">
        <f t="shared" si="3"/>
        <v>0</v>
      </c>
      <c r="AD24" s="253">
        <f t="shared" si="3"/>
        <v>0</v>
      </c>
      <c r="AE24" s="253">
        <f t="shared" si="3"/>
        <v>0</v>
      </c>
      <c r="AF24" s="253">
        <f t="shared" si="3"/>
        <v>0</v>
      </c>
      <c r="AG24" s="253">
        <f t="shared" si="3"/>
        <v>0</v>
      </c>
      <c r="AH24" s="253">
        <f t="shared" si="3"/>
        <v>0</v>
      </c>
      <c r="AI24" s="253">
        <f t="shared" si="3"/>
        <v>0</v>
      </c>
      <c r="AJ24" s="253">
        <f t="shared" si="3"/>
        <v>0</v>
      </c>
      <c r="AK24" s="253">
        <f t="shared" si="3"/>
        <v>0</v>
      </c>
      <c r="AL24" s="253">
        <f t="shared" si="3"/>
        <v>0</v>
      </c>
      <c r="AM24" s="253">
        <f t="shared" si="3"/>
        <v>0</v>
      </c>
      <c r="AN24" s="253">
        <f t="shared" si="3"/>
        <v>0</v>
      </c>
      <c r="AO24" s="253">
        <f t="shared" si="3"/>
        <v>0</v>
      </c>
      <c r="AP24" s="253">
        <f t="shared" si="3"/>
        <v>0</v>
      </c>
      <c r="AQ24" s="253">
        <f t="shared" si="3"/>
        <v>0</v>
      </c>
      <c r="AR24" s="253">
        <f t="shared" si="3"/>
        <v>0</v>
      </c>
      <c r="AS24" s="253">
        <f t="shared" si="3"/>
        <v>0</v>
      </c>
      <c r="AT24" s="253">
        <f t="shared" si="3"/>
        <v>0</v>
      </c>
    </row>
    <row r="25" spans="1:46" x14ac:dyDescent="0.3">
      <c r="E25" s="6"/>
      <c r="F25" s="6"/>
      <c r="G25" s="6"/>
      <c r="H25" s="6" t="s">
        <v>680</v>
      </c>
      <c r="I25" s="6"/>
      <c r="J25" s="215"/>
      <c r="K25" s="215"/>
      <c r="L25" s="215">
        <v>51587.74</v>
      </c>
      <c r="M25" s="215">
        <v>87597.33</v>
      </c>
      <c r="N25" s="215">
        <v>239632.85</v>
      </c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</row>
    <row r="26" spans="1:46" ht="21" hidden="1" customHeight="1" x14ac:dyDescent="0.3">
      <c r="C26" s="46"/>
      <c r="D26" s="46"/>
      <c r="E26" s="6"/>
      <c r="F26" s="6"/>
      <c r="G26" s="6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</row>
    <row r="27" spans="1:46" hidden="1" x14ac:dyDescent="0.3">
      <c r="C27" s="46"/>
      <c r="D27" s="46"/>
      <c r="E27" s="6"/>
      <c r="F27" s="6"/>
      <c r="G27" s="6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>
        <v>35745.370000000003</v>
      </c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</row>
    <row r="28" spans="1:46" hidden="1" x14ac:dyDescent="0.3">
      <c r="C28" s="46"/>
      <c r="D28" s="46"/>
      <c r="E28" s="6"/>
      <c r="F28" s="6"/>
      <c r="G28" s="6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>
        <v>298333.31</v>
      </c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</row>
    <row r="29" spans="1:46" hidden="1" x14ac:dyDescent="0.3">
      <c r="C29" s="46"/>
      <c r="D29" s="46"/>
      <c r="E29" s="6"/>
      <c r="F29" s="6"/>
      <c r="G29" s="6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>
        <f>SUM(S27:S28)</f>
        <v>334078.68</v>
      </c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</row>
    <row r="30" spans="1:46" x14ac:dyDescent="0.3">
      <c r="C30" s="46"/>
      <c r="D30" s="46"/>
      <c r="E30" s="6"/>
      <c r="F30" s="6"/>
      <c r="G30" s="6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>
        <f>509794.61+64384.29</f>
        <v>574178.9</v>
      </c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</row>
    <row r="31" spans="1:46" x14ac:dyDescent="0.3">
      <c r="C31" s="46"/>
      <c r="D31" s="46"/>
      <c r="E31" s="6"/>
      <c r="F31" s="6"/>
      <c r="G31" s="6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</row>
    <row r="32" spans="1:46" x14ac:dyDescent="0.3">
      <c r="C32" s="46"/>
      <c r="D32" s="46"/>
      <c r="E32" s="6"/>
      <c r="F32" s="6"/>
      <c r="G32" s="6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</row>
    <row r="33" spans="3:34" x14ac:dyDescent="0.3">
      <c r="C33" s="46"/>
      <c r="D33" s="46"/>
      <c r="E33" s="6"/>
      <c r="F33" s="6"/>
      <c r="G33" s="6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 t="s">
        <v>33</v>
      </c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</row>
    <row r="34" spans="3:34" x14ac:dyDescent="0.3">
      <c r="C34" s="46"/>
      <c r="D34" s="46"/>
      <c r="E34" s="46"/>
      <c r="F34" s="46"/>
      <c r="G34" s="46"/>
      <c r="H34" s="44"/>
      <c r="I34" s="44"/>
      <c r="R34" s="44" t="s">
        <v>33</v>
      </c>
      <c r="AA34" s="30"/>
      <c r="AB34" s="30"/>
    </row>
    <row r="35" spans="3:34" x14ac:dyDescent="0.3">
      <c r="C35" s="46"/>
      <c r="D35" s="46"/>
      <c r="E35" s="46"/>
      <c r="F35" s="46"/>
      <c r="G35" s="46"/>
      <c r="H35" s="44"/>
      <c r="I35" s="44"/>
      <c r="AA35" s="30"/>
      <c r="AB35" s="30"/>
    </row>
    <row r="36" spans="3:34" x14ac:dyDescent="0.3">
      <c r="C36" s="46"/>
      <c r="D36" s="46"/>
      <c r="E36" s="46"/>
      <c r="F36" s="46"/>
      <c r="G36" s="46"/>
      <c r="H36" s="44"/>
      <c r="I36" s="44"/>
      <c r="AA36" s="30"/>
      <c r="AB36" s="30"/>
    </row>
    <row r="37" spans="3:34" x14ac:dyDescent="0.3">
      <c r="C37" s="46"/>
      <c r="D37" s="46"/>
      <c r="E37" s="46"/>
      <c r="F37" s="46"/>
      <c r="G37" s="46"/>
      <c r="H37" s="44"/>
      <c r="I37" s="44"/>
      <c r="AA37" s="30"/>
      <c r="AB37" s="30"/>
    </row>
    <row r="38" spans="3:34" x14ac:dyDescent="0.3">
      <c r="C38" s="46"/>
      <c r="D38" s="46"/>
      <c r="E38" s="46"/>
      <c r="F38" s="46"/>
      <c r="G38" s="46"/>
      <c r="H38" s="44"/>
      <c r="I38" s="44"/>
    </row>
    <row r="39" spans="3:34" x14ac:dyDescent="0.3">
      <c r="C39" s="46"/>
      <c r="D39" s="46"/>
      <c r="E39" s="46"/>
      <c r="F39" s="46"/>
      <c r="G39" s="46"/>
      <c r="H39" s="44"/>
      <c r="I39" s="44"/>
    </row>
    <row r="40" spans="3:34" x14ac:dyDescent="0.3">
      <c r="C40" s="46"/>
      <c r="D40" s="46"/>
      <c r="E40" s="46"/>
      <c r="F40" s="46"/>
      <c r="G40" s="46"/>
      <c r="H40" s="44"/>
      <c r="I40" s="44"/>
    </row>
    <row r="41" spans="3:34" x14ac:dyDescent="0.3">
      <c r="C41" s="46"/>
      <c r="D41" s="46"/>
      <c r="E41" s="46"/>
      <c r="F41" s="46"/>
      <c r="G41" s="46"/>
      <c r="H41" s="44"/>
      <c r="I41" s="44"/>
    </row>
    <row r="42" spans="3:34" x14ac:dyDescent="0.3">
      <c r="E42" s="46"/>
      <c r="F42" s="46"/>
      <c r="G42" s="46"/>
      <c r="H42" s="46"/>
      <c r="I42" s="46"/>
    </row>
    <row r="43" spans="3:34" x14ac:dyDescent="0.3">
      <c r="E43" s="46"/>
      <c r="F43" s="46"/>
      <c r="G43" s="46"/>
      <c r="H43" s="46"/>
      <c r="I43" s="46"/>
    </row>
    <row r="44" spans="3:34" x14ac:dyDescent="0.3">
      <c r="E44" s="46"/>
      <c r="F44" s="46"/>
      <c r="G44" s="46"/>
      <c r="H44" s="46"/>
      <c r="I44" s="46"/>
    </row>
    <row r="45" spans="3:34" x14ac:dyDescent="0.3">
      <c r="E45" s="46"/>
      <c r="F45" s="46"/>
      <c r="G45" s="46"/>
      <c r="H45" s="46"/>
      <c r="I45" s="46"/>
    </row>
    <row r="46" spans="3:34" x14ac:dyDescent="0.3">
      <c r="E46" s="46"/>
      <c r="F46" s="46"/>
      <c r="G46" s="46"/>
      <c r="H46" s="46"/>
      <c r="I46" s="46"/>
    </row>
    <row r="47" spans="3:34" x14ac:dyDescent="0.3">
      <c r="H47" s="46"/>
      <c r="I47" s="46"/>
    </row>
    <row r="48" spans="3:34" x14ac:dyDescent="0.3">
      <c r="H48" s="46"/>
      <c r="I48" s="46"/>
    </row>
    <row r="49" spans="8:9" x14ac:dyDescent="0.3">
      <c r="H49" s="46"/>
      <c r="I49" s="46"/>
    </row>
  </sheetData>
  <sheetProtection algorithmName="SHA-512" hashValue="inIj1bmIebmHmApt+ApQA+L47wDCjzjYab8FEIq6oyaphJIIlBbqrjf8JSFIaEV6HzkrryPqeFV2sARRATGIZg==" saltValue="oBGtjtZ/j4BKKteEA8oSew==" spinCount="100000" sheet="1" objects="1" scenarios="1"/>
  <sortState xmlns:xlrd2="http://schemas.microsoft.com/office/spreadsheetml/2017/richdata2" ref="A9:AJ23">
    <sortCondition ref="A9:A23"/>
  </sortState>
  <mergeCells count="1">
    <mergeCell ref="A7:I7"/>
  </mergeCells>
  <hyperlinks>
    <hyperlink ref="C5" r:id="rId1" xr:uid="{FAB9A70A-FAA9-4EE9-8D6C-9A65EE4398D3}"/>
  </hyperlinks>
  <pageMargins left="0.7" right="0.7" top="0.75" bottom="0.75" header="0.3" footer="0.3"/>
  <pageSetup orientation="portrait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7">
    <tabColor theme="2"/>
  </sheetPr>
  <dimension ref="A1:AB46"/>
  <sheetViews>
    <sheetView workbookViewId="0">
      <pane xSplit="5" ySplit="8" topLeftCell="F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F21" sqref="F21"/>
    </sheetView>
  </sheetViews>
  <sheetFormatPr defaultColWidth="8.5546875" defaultRowHeight="14.4" x14ac:dyDescent="0.3"/>
  <cols>
    <col min="1" max="1" width="9.5546875" style="44" customWidth="1"/>
    <col min="2" max="2" width="30.44140625" style="44" customWidth="1"/>
    <col min="3" max="5" width="14.5546875" style="44" customWidth="1"/>
    <col min="6" max="26" width="12.5546875" style="44" customWidth="1"/>
    <col min="27" max="28" width="21.44140625" style="44" customWidth="1"/>
    <col min="29" max="16384" width="8.5546875" style="44"/>
  </cols>
  <sheetData>
    <row r="1" spans="1:28" ht="21" x14ac:dyDescent="0.4">
      <c r="A1" s="47" t="s">
        <v>0</v>
      </c>
      <c r="B1" s="53"/>
      <c r="C1" s="48" t="s">
        <v>160</v>
      </c>
      <c r="D1" s="47"/>
      <c r="E1" s="49"/>
      <c r="F1" s="48"/>
      <c r="G1" s="48"/>
      <c r="H1" s="48"/>
      <c r="I1" s="47"/>
      <c r="J1" s="47"/>
      <c r="K1" s="49"/>
      <c r="L1" s="47" t="str">
        <f>$C$1</f>
        <v>Deaf and Blind Centers</v>
      </c>
      <c r="M1" s="54"/>
      <c r="N1" s="54"/>
      <c r="O1" s="48"/>
      <c r="P1" s="48"/>
      <c r="Q1" s="47"/>
      <c r="R1" s="47" t="str">
        <f>$C$1</f>
        <v>Deaf and Blind Centers</v>
      </c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21" x14ac:dyDescent="0.4">
      <c r="A2" s="47" t="s">
        <v>147</v>
      </c>
      <c r="B2" s="49"/>
      <c r="C2" s="47" t="s">
        <v>161</v>
      </c>
      <c r="D2" s="50"/>
      <c r="E2" s="9"/>
      <c r="F2" s="9"/>
      <c r="G2" s="9"/>
      <c r="H2" s="9"/>
      <c r="I2" s="52"/>
      <c r="J2" s="52"/>
      <c r="K2" s="52"/>
      <c r="L2" s="131" t="str">
        <f>"FY"&amp;$C$4</f>
        <v>FY</v>
      </c>
      <c r="M2" s="52"/>
      <c r="N2" s="52"/>
      <c r="O2" s="52"/>
      <c r="P2" s="52"/>
      <c r="Q2" s="52"/>
      <c r="R2" s="131" t="str">
        <f>"FY"&amp;$C$4</f>
        <v>FY</v>
      </c>
      <c r="S2" s="52"/>
      <c r="T2" s="52"/>
      <c r="U2" s="52"/>
      <c r="V2" s="52"/>
      <c r="W2" s="52"/>
      <c r="X2" s="52"/>
      <c r="Y2" s="52"/>
      <c r="Z2" s="52"/>
      <c r="AA2" s="47"/>
      <c r="AB2" s="47"/>
    </row>
    <row r="3" spans="1:28" ht="15.6" x14ac:dyDescent="0.3">
      <c r="A3" s="50" t="s">
        <v>1</v>
      </c>
      <c r="B3" s="53"/>
      <c r="C3" s="51">
        <v>5326</v>
      </c>
      <c r="D3" s="50"/>
      <c r="E3" s="19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ht="15.6" x14ac:dyDescent="0.3">
      <c r="A4" s="50" t="s">
        <v>2</v>
      </c>
      <c r="B4" s="53"/>
      <c r="C4" s="51"/>
      <c r="D4" s="50"/>
      <c r="E4" s="19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ht="15.6" x14ac:dyDescent="0.3">
      <c r="A5" s="50" t="s">
        <v>18</v>
      </c>
      <c r="B5" s="53"/>
      <c r="C5" s="63" t="s">
        <v>402</v>
      </c>
      <c r="D5" s="50"/>
      <c r="E5" s="9"/>
      <c r="F5" s="9"/>
      <c r="G5" s="9"/>
      <c r="H5" s="9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ht="15.6" x14ac:dyDescent="0.3">
      <c r="A6" s="50" t="s">
        <v>19</v>
      </c>
      <c r="B6" s="53"/>
      <c r="C6" s="67" t="s">
        <v>403</v>
      </c>
      <c r="D6" s="50"/>
      <c r="E6" s="9"/>
      <c r="F6" s="9"/>
      <c r="G6" s="9"/>
      <c r="H6" s="9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ht="16.2" thickBot="1" x14ac:dyDescent="0.35">
      <c r="A7" s="50"/>
      <c r="B7" s="53"/>
      <c r="C7" s="50"/>
      <c r="D7" s="50"/>
      <c r="E7" s="9"/>
      <c r="F7" s="9"/>
      <c r="G7" s="9"/>
      <c r="H7" s="9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ht="29.4" thickBot="1" x14ac:dyDescent="0.35">
      <c r="A8" s="127" t="s">
        <v>138</v>
      </c>
      <c r="B8" s="12" t="s">
        <v>132</v>
      </c>
      <c r="C8" s="12" t="s">
        <v>15</v>
      </c>
      <c r="D8" s="13" t="s">
        <v>16</v>
      </c>
      <c r="E8" s="29" t="s">
        <v>17</v>
      </c>
      <c r="F8" s="26" t="s">
        <v>126</v>
      </c>
      <c r="G8" s="27" t="s">
        <v>127</v>
      </c>
      <c r="H8" s="26" t="s">
        <v>128</v>
      </c>
      <c r="I8" s="27" t="s">
        <v>163</v>
      </c>
      <c r="J8" s="26" t="s">
        <v>164</v>
      </c>
      <c r="K8" s="27" t="s">
        <v>130</v>
      </c>
      <c r="L8" s="27" t="s">
        <v>232</v>
      </c>
      <c r="M8" s="27" t="s">
        <v>233</v>
      </c>
      <c r="N8" s="27" t="s">
        <v>234</v>
      </c>
      <c r="O8" s="27" t="s">
        <v>235</v>
      </c>
      <c r="P8" s="27" t="s">
        <v>236</v>
      </c>
      <c r="Q8" s="27" t="s">
        <v>399</v>
      </c>
      <c r="R8" s="26" t="s">
        <v>238</v>
      </c>
      <c r="S8" s="27" t="s">
        <v>239</v>
      </c>
      <c r="T8" s="27" t="s">
        <v>240</v>
      </c>
      <c r="U8" s="27" t="s">
        <v>400</v>
      </c>
      <c r="V8" s="26" t="s">
        <v>401</v>
      </c>
      <c r="W8" s="27" t="s">
        <v>130</v>
      </c>
      <c r="X8" s="12" t="s">
        <v>157</v>
      </c>
      <c r="Y8" s="27" t="s">
        <v>127</v>
      </c>
      <c r="Z8" s="27" t="s">
        <v>128</v>
      </c>
      <c r="AA8" s="12" t="s">
        <v>157</v>
      </c>
      <c r="AB8" s="12" t="s">
        <v>158</v>
      </c>
    </row>
    <row r="9" spans="1:28" ht="15" thickBot="1" x14ac:dyDescent="0.35">
      <c r="A9" s="105"/>
      <c r="B9" s="106"/>
      <c r="C9" s="107"/>
      <c r="D9" s="107">
        <f>SUM(F9:AA9)</f>
        <v>0</v>
      </c>
      <c r="E9" s="107">
        <f>C9-D9</f>
        <v>0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8" ht="15" thickBot="1" x14ac:dyDescent="0.35">
      <c r="A10" s="70"/>
      <c r="B10" s="123"/>
      <c r="C10" s="107"/>
      <c r="D10" s="107">
        <f>SUM(F10:AA10)</f>
        <v>0</v>
      </c>
      <c r="E10" s="107">
        <f>C10-D10</f>
        <v>0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8" ht="15" thickBot="1" x14ac:dyDescent="0.35">
      <c r="A11" s="124"/>
      <c r="B11" s="123"/>
      <c r="C11" s="107"/>
      <c r="D11" s="107">
        <f>SUM(F11:AA11)</f>
        <v>0</v>
      </c>
      <c r="E11" s="107">
        <f>C11-D11</f>
        <v>0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8" ht="15" thickBot="1" x14ac:dyDescent="0.35">
      <c r="A12" s="70"/>
      <c r="B12" s="123"/>
      <c r="C12" s="109"/>
      <c r="D12" s="107"/>
      <c r="E12" s="107"/>
      <c r="F12" s="108"/>
      <c r="G12" s="108"/>
      <c r="H12" s="108"/>
      <c r="I12" s="108"/>
      <c r="J12" s="108"/>
      <c r="K12" s="108"/>
      <c r="L12" s="108"/>
      <c r="M12" s="108"/>
      <c r="N12" s="108"/>
      <c r="O12" s="108" t="s">
        <v>33</v>
      </c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75"/>
      <c r="AB12" s="75"/>
    </row>
    <row r="13" spans="1:28" s="14" customFormat="1" ht="15" thickBot="1" x14ac:dyDescent="0.35">
      <c r="A13" s="72" t="s">
        <v>46</v>
      </c>
      <c r="B13" s="42"/>
      <c r="C13" s="73">
        <f t="shared" ref="C13:AB13" si="0">SUM(C9:C11)</f>
        <v>0</v>
      </c>
      <c r="D13" s="73">
        <f t="shared" si="0"/>
        <v>0</v>
      </c>
      <c r="E13" s="73">
        <f t="shared" si="0"/>
        <v>0</v>
      </c>
      <c r="F13" s="73">
        <f t="shared" si="0"/>
        <v>0</v>
      </c>
      <c r="G13" s="73">
        <f t="shared" si="0"/>
        <v>0</v>
      </c>
      <c r="H13" s="73">
        <f t="shared" si="0"/>
        <v>0</v>
      </c>
      <c r="I13" s="73">
        <f t="shared" si="0"/>
        <v>0</v>
      </c>
      <c r="J13" s="73">
        <f t="shared" si="0"/>
        <v>0</v>
      </c>
      <c r="K13" s="73">
        <f t="shared" si="0"/>
        <v>0</v>
      </c>
      <c r="L13" s="73">
        <f t="shared" si="0"/>
        <v>0</v>
      </c>
      <c r="M13" s="73">
        <f t="shared" si="0"/>
        <v>0</v>
      </c>
      <c r="N13" s="73">
        <f t="shared" si="0"/>
        <v>0</v>
      </c>
      <c r="O13" s="73">
        <f t="shared" si="0"/>
        <v>0</v>
      </c>
      <c r="P13" s="73">
        <f t="shared" si="0"/>
        <v>0</v>
      </c>
      <c r="Q13" s="73">
        <f t="shared" si="0"/>
        <v>0</v>
      </c>
      <c r="R13" s="73">
        <f t="shared" si="0"/>
        <v>0</v>
      </c>
      <c r="S13" s="73">
        <f t="shared" si="0"/>
        <v>0</v>
      </c>
      <c r="T13" s="73">
        <f t="shared" si="0"/>
        <v>0</v>
      </c>
      <c r="U13" s="73">
        <f t="shared" si="0"/>
        <v>0</v>
      </c>
      <c r="V13" s="73">
        <f t="shared" si="0"/>
        <v>0</v>
      </c>
      <c r="W13" s="73">
        <f t="shared" si="0"/>
        <v>0</v>
      </c>
      <c r="X13" s="73">
        <f t="shared" si="0"/>
        <v>0</v>
      </c>
      <c r="Y13" s="73">
        <f t="shared" si="0"/>
        <v>0</v>
      </c>
      <c r="Z13" s="73">
        <f t="shared" si="0"/>
        <v>0</v>
      </c>
      <c r="AA13" s="73">
        <f t="shared" si="0"/>
        <v>0</v>
      </c>
      <c r="AB13" s="73">
        <f t="shared" si="0"/>
        <v>0</v>
      </c>
    </row>
    <row r="16" spans="1:28" x14ac:dyDescent="0.3">
      <c r="AA16" s="75"/>
      <c r="AB16" s="75"/>
    </row>
    <row r="18" spans="27:28" x14ac:dyDescent="0.3">
      <c r="AA18" s="75"/>
      <c r="AB18" s="75"/>
    </row>
    <row r="22" spans="27:28" x14ac:dyDescent="0.3">
      <c r="AA22" s="75"/>
      <c r="AB22" s="75"/>
    </row>
    <row r="23" spans="27:28" x14ac:dyDescent="0.3">
      <c r="AA23" s="75"/>
      <c r="AB23" s="75"/>
    </row>
    <row r="29" spans="27:28" x14ac:dyDescent="0.3">
      <c r="AA29" s="75"/>
      <c r="AB29" s="75"/>
    </row>
    <row r="32" spans="27:28" x14ac:dyDescent="0.3">
      <c r="AA32" s="45"/>
      <c r="AB32" s="45"/>
    </row>
    <row r="33" spans="27:28" x14ac:dyDescent="0.3">
      <c r="AA33" s="30"/>
      <c r="AB33" s="30"/>
    </row>
    <row r="34" spans="27:28" x14ac:dyDescent="0.3">
      <c r="AA34" s="30"/>
      <c r="AB34" s="30"/>
    </row>
    <row r="35" spans="27:28" x14ac:dyDescent="0.3">
      <c r="AA35" s="30"/>
      <c r="AB35" s="30"/>
    </row>
    <row r="36" spans="27:28" x14ac:dyDescent="0.3">
      <c r="AA36" s="30"/>
      <c r="AB36" s="30"/>
    </row>
    <row r="37" spans="27:28" x14ac:dyDescent="0.3">
      <c r="AA37" s="30"/>
      <c r="AB37" s="30"/>
    </row>
    <row r="38" spans="27:28" x14ac:dyDescent="0.3">
      <c r="AA38" s="30"/>
      <c r="AB38" s="30"/>
    </row>
    <row r="39" spans="27:28" x14ac:dyDescent="0.3">
      <c r="AA39" s="30"/>
      <c r="AB39" s="30"/>
    </row>
    <row r="40" spans="27:28" x14ac:dyDescent="0.3">
      <c r="AA40" s="30"/>
      <c r="AB40" s="30"/>
    </row>
    <row r="41" spans="27:28" x14ac:dyDescent="0.3">
      <c r="AA41" s="30"/>
      <c r="AB41" s="30"/>
    </row>
    <row r="42" spans="27:28" x14ac:dyDescent="0.3">
      <c r="AA42" s="30"/>
      <c r="AB42" s="30"/>
    </row>
    <row r="43" spans="27:28" x14ac:dyDescent="0.3">
      <c r="AA43" s="30"/>
      <c r="AB43" s="30"/>
    </row>
    <row r="44" spans="27:28" x14ac:dyDescent="0.3">
      <c r="AA44" s="30"/>
      <c r="AB44" s="30"/>
    </row>
    <row r="45" spans="27:28" x14ac:dyDescent="0.3">
      <c r="AA45" s="30"/>
      <c r="AB45" s="30"/>
    </row>
    <row r="46" spans="27:28" x14ac:dyDescent="0.3">
      <c r="AA46" s="30"/>
      <c r="AB46" s="3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5">
    <tabColor theme="2"/>
  </sheetPr>
  <dimension ref="A1:AB41"/>
  <sheetViews>
    <sheetView workbookViewId="0">
      <pane xSplit="7" ySplit="8" topLeftCell="H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C5" sqref="C5:C6"/>
    </sheetView>
  </sheetViews>
  <sheetFormatPr defaultColWidth="8.5546875" defaultRowHeight="14.4" x14ac:dyDescent="0.3"/>
  <cols>
    <col min="1" max="1" width="8.5546875" style="65"/>
    <col min="2" max="2" width="36.44140625" style="44" customWidth="1"/>
    <col min="3" max="3" width="11.44140625" style="65" customWidth="1"/>
    <col min="4" max="4" width="30.5546875" style="44" customWidth="1"/>
    <col min="5" max="7" width="14.5546875" style="45" customWidth="1"/>
    <col min="8" max="26" width="15.5546875" style="44" customWidth="1"/>
    <col min="27" max="28" width="21.44140625" style="44" customWidth="1"/>
    <col min="29" max="16384" width="8.5546875" style="44"/>
  </cols>
  <sheetData>
    <row r="1" spans="1:28" s="45" customFormat="1" ht="21" x14ac:dyDescent="0.4">
      <c r="A1" s="62" t="s">
        <v>0</v>
      </c>
      <c r="B1" s="53"/>
      <c r="C1" s="66" t="s">
        <v>214</v>
      </c>
      <c r="D1" s="50"/>
      <c r="E1" s="50"/>
      <c r="F1" s="50"/>
      <c r="G1" s="54"/>
      <c r="H1" s="53"/>
      <c r="I1" s="48"/>
      <c r="J1" s="66" t="str">
        <f>$C$1</f>
        <v>High Flyers</v>
      </c>
      <c r="K1" s="53"/>
      <c r="L1" s="53"/>
      <c r="M1" s="48"/>
      <c r="N1" s="53"/>
      <c r="O1" s="53"/>
      <c r="P1" s="66" t="str">
        <f>$C$1</f>
        <v>High Flyers</v>
      </c>
      <c r="Q1" s="48"/>
      <c r="R1" s="48"/>
      <c r="S1" s="53"/>
      <c r="T1" s="48"/>
      <c r="U1" s="53"/>
      <c r="V1" s="53"/>
      <c r="W1" s="66" t="str">
        <f>$C$1</f>
        <v>High Flyers</v>
      </c>
      <c r="X1" s="53"/>
      <c r="Y1" s="48"/>
      <c r="Z1" s="53"/>
      <c r="AA1" s="47"/>
      <c r="AB1" s="47"/>
    </row>
    <row r="2" spans="1:28" s="3" customFormat="1" ht="21" x14ac:dyDescent="0.4">
      <c r="A2" s="47" t="s">
        <v>147</v>
      </c>
      <c r="B2" s="49"/>
      <c r="C2" s="62" t="s">
        <v>215</v>
      </c>
      <c r="D2" s="48"/>
      <c r="E2" s="48"/>
      <c r="F2" s="48"/>
      <c r="G2" s="15"/>
      <c r="H2" s="49"/>
      <c r="I2" s="49"/>
      <c r="J2" s="50" t="str">
        <f>"FY"&amp;$C$4</f>
        <v>FY2018-19</v>
      </c>
      <c r="K2" s="49"/>
      <c r="L2" s="49"/>
      <c r="M2" s="49"/>
      <c r="N2" s="49"/>
      <c r="O2" s="49"/>
      <c r="P2" s="50" t="str">
        <f>"FY"&amp;$C$4</f>
        <v>FY2018-19</v>
      </c>
      <c r="Q2" s="49"/>
      <c r="R2" s="49"/>
      <c r="S2" s="49"/>
      <c r="T2" s="49"/>
      <c r="U2" s="49"/>
      <c r="V2" s="49"/>
      <c r="W2" s="50" t="str">
        <f>"FY"&amp;$C$4</f>
        <v>FY2018-19</v>
      </c>
      <c r="X2" s="49"/>
      <c r="Y2" s="49"/>
      <c r="Z2" s="49"/>
      <c r="AA2" s="47"/>
      <c r="AB2" s="47"/>
    </row>
    <row r="3" spans="1:28" s="45" customFormat="1" ht="15.6" x14ac:dyDescent="0.3">
      <c r="A3" s="63" t="s">
        <v>1</v>
      </c>
      <c r="B3" s="53"/>
      <c r="C3" s="67" t="s">
        <v>216</v>
      </c>
      <c r="D3" s="50"/>
      <c r="E3" s="50"/>
      <c r="F3" s="50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54"/>
    </row>
    <row r="4" spans="1:28" s="45" customFormat="1" ht="15.6" x14ac:dyDescent="0.3">
      <c r="A4" s="63" t="s">
        <v>2</v>
      </c>
      <c r="B4" s="53"/>
      <c r="C4" s="67" t="s">
        <v>162</v>
      </c>
      <c r="D4" s="50"/>
      <c r="E4" s="50"/>
      <c r="F4" s="50"/>
      <c r="G4" s="54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</row>
    <row r="5" spans="1:28" s="45" customFormat="1" ht="15.6" x14ac:dyDescent="0.3">
      <c r="A5" s="63" t="s">
        <v>18</v>
      </c>
      <c r="B5" s="53"/>
      <c r="C5" s="63" t="s">
        <v>402</v>
      </c>
      <c r="D5" s="50"/>
      <c r="E5" s="50"/>
      <c r="F5" s="50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2"/>
      <c r="AB5" s="52"/>
    </row>
    <row r="6" spans="1:28" s="45" customFormat="1" ht="15.6" x14ac:dyDescent="0.3">
      <c r="A6" s="63" t="s">
        <v>19</v>
      </c>
      <c r="B6" s="53"/>
      <c r="C6" s="67" t="s">
        <v>403</v>
      </c>
      <c r="D6" s="50"/>
      <c r="E6" s="50"/>
      <c r="F6" s="50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2"/>
      <c r="AB6" s="52"/>
    </row>
    <row r="7" spans="1:28" s="45" customFormat="1" ht="24" thickBot="1" x14ac:dyDescent="0.5">
      <c r="A7" s="442"/>
      <c r="B7" s="443"/>
      <c r="C7" s="443"/>
      <c r="D7" s="443"/>
      <c r="E7" s="443"/>
      <c r="F7" s="444"/>
      <c r="G7" s="444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2"/>
      <c r="AB7" s="52"/>
    </row>
    <row r="8" spans="1:28" ht="29.4" thickBot="1" x14ac:dyDescent="0.35">
      <c r="A8" s="11" t="s">
        <v>138</v>
      </c>
      <c r="B8" s="12" t="s">
        <v>132</v>
      </c>
      <c r="C8" s="11" t="s">
        <v>145</v>
      </c>
      <c r="D8" s="12" t="s">
        <v>43</v>
      </c>
      <c r="E8" s="13" t="s">
        <v>15</v>
      </c>
      <c r="F8" s="12" t="s">
        <v>16</v>
      </c>
      <c r="G8" s="29" t="s">
        <v>17</v>
      </c>
      <c r="H8" s="26" t="s">
        <v>126</v>
      </c>
      <c r="I8" s="27" t="s">
        <v>127</v>
      </c>
      <c r="J8" s="26" t="s">
        <v>128</v>
      </c>
      <c r="K8" s="27" t="s">
        <v>163</v>
      </c>
      <c r="L8" s="26" t="s">
        <v>164</v>
      </c>
      <c r="M8" s="27" t="s">
        <v>130</v>
      </c>
      <c r="N8" s="27" t="s">
        <v>232</v>
      </c>
      <c r="O8" s="27" t="s">
        <v>233</v>
      </c>
      <c r="P8" s="27" t="s">
        <v>234</v>
      </c>
      <c r="Q8" s="27" t="s">
        <v>235</v>
      </c>
      <c r="R8" s="27" t="s">
        <v>236</v>
      </c>
      <c r="S8" s="27" t="s">
        <v>399</v>
      </c>
      <c r="T8" s="26" t="s">
        <v>238</v>
      </c>
      <c r="U8" s="27" t="s">
        <v>239</v>
      </c>
      <c r="V8" s="27" t="s">
        <v>240</v>
      </c>
      <c r="W8" s="27" t="s">
        <v>400</v>
      </c>
      <c r="X8" s="26" t="s">
        <v>401</v>
      </c>
      <c r="Y8" s="27" t="s">
        <v>130</v>
      </c>
      <c r="Z8" s="12" t="s">
        <v>157</v>
      </c>
      <c r="AA8" s="12" t="s">
        <v>157</v>
      </c>
      <c r="AB8" s="12" t="s">
        <v>158</v>
      </c>
    </row>
    <row r="9" spans="1:28" s="37" customFormat="1" ht="15" thickBot="1" x14ac:dyDescent="0.35">
      <c r="A9" s="96" t="s">
        <v>51</v>
      </c>
      <c r="B9" s="93" t="s">
        <v>27</v>
      </c>
      <c r="C9" s="92" t="s">
        <v>223</v>
      </c>
      <c r="D9" s="93" t="s">
        <v>225</v>
      </c>
      <c r="E9" s="94">
        <v>20000</v>
      </c>
      <c r="F9" s="94">
        <f>SUM(H9:AB9)</f>
        <v>20000</v>
      </c>
      <c r="G9" s="94">
        <f>E9-F9</f>
        <v>0</v>
      </c>
      <c r="H9" s="125"/>
      <c r="I9" s="116"/>
      <c r="J9" s="116"/>
      <c r="K9" s="116">
        <v>20000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44"/>
      <c r="AB9" s="44"/>
    </row>
    <row r="10" spans="1:28" s="37" customFormat="1" ht="15" thickBot="1" x14ac:dyDescent="0.35">
      <c r="A10" s="96" t="s">
        <v>51</v>
      </c>
      <c r="B10" s="93" t="s">
        <v>27</v>
      </c>
      <c r="C10" s="97" t="s">
        <v>224</v>
      </c>
      <c r="D10" s="93" t="s">
        <v>226</v>
      </c>
      <c r="E10" s="94">
        <v>20000</v>
      </c>
      <c r="F10" s="94">
        <f t="shared" ref="F10:F14" si="0">SUM(H10:AB10)</f>
        <v>20000</v>
      </c>
      <c r="G10" s="94">
        <f t="shared" ref="G10:G14" si="1">E10-F10</f>
        <v>0</v>
      </c>
      <c r="H10" s="74"/>
      <c r="I10" s="74"/>
      <c r="J10" s="74"/>
      <c r="K10" s="116">
        <v>20000</v>
      </c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44"/>
      <c r="AB10" s="44"/>
    </row>
    <row r="11" spans="1:28" s="37" customFormat="1" ht="15" thickBot="1" x14ac:dyDescent="0.35">
      <c r="A11" s="96" t="s">
        <v>217</v>
      </c>
      <c r="B11" s="93" t="s">
        <v>220</v>
      </c>
      <c r="C11" s="97"/>
      <c r="D11" s="93" t="s">
        <v>227</v>
      </c>
      <c r="E11" s="94">
        <v>10000</v>
      </c>
      <c r="F11" s="94">
        <f t="shared" si="0"/>
        <v>10000</v>
      </c>
      <c r="G11" s="94">
        <f t="shared" si="1"/>
        <v>0</v>
      </c>
      <c r="H11" s="74"/>
      <c r="I11" s="74"/>
      <c r="J11" s="74"/>
      <c r="K11" s="74">
        <v>10000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44"/>
      <c r="AB11" s="44"/>
    </row>
    <row r="12" spans="1:28" s="37" customFormat="1" ht="15" thickBot="1" x14ac:dyDescent="0.35">
      <c r="A12" s="96" t="s">
        <v>53</v>
      </c>
      <c r="B12" s="93" t="s">
        <v>55</v>
      </c>
      <c r="C12" s="97"/>
      <c r="D12" s="93" t="s">
        <v>228</v>
      </c>
      <c r="E12" s="94">
        <v>10000</v>
      </c>
      <c r="F12" s="94">
        <f t="shared" si="0"/>
        <v>10000</v>
      </c>
      <c r="G12" s="94">
        <f t="shared" si="1"/>
        <v>0</v>
      </c>
      <c r="H12" s="74"/>
      <c r="I12" s="74"/>
      <c r="J12" s="74"/>
      <c r="K12" s="74">
        <v>10000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44"/>
      <c r="AB12" s="44"/>
    </row>
    <row r="13" spans="1:28" s="37" customFormat="1" ht="15" thickBot="1" x14ac:dyDescent="0.35">
      <c r="A13" s="96" t="s">
        <v>218</v>
      </c>
      <c r="B13" s="93" t="s">
        <v>221</v>
      </c>
      <c r="C13" s="97"/>
      <c r="D13" s="93" t="s">
        <v>229</v>
      </c>
      <c r="E13" s="94">
        <v>20000</v>
      </c>
      <c r="F13" s="94">
        <f t="shared" si="0"/>
        <v>20000</v>
      </c>
      <c r="G13" s="94">
        <f t="shared" si="1"/>
        <v>0</v>
      </c>
      <c r="H13" s="74"/>
      <c r="I13" s="74"/>
      <c r="J13" s="74"/>
      <c r="K13" s="74">
        <v>20000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44"/>
      <c r="AB13" s="44"/>
    </row>
    <row r="14" spans="1:28" s="37" customFormat="1" ht="15" thickBot="1" x14ac:dyDescent="0.35">
      <c r="A14" s="96" t="s">
        <v>219</v>
      </c>
      <c r="B14" s="93" t="s">
        <v>222</v>
      </c>
      <c r="C14" s="97"/>
      <c r="D14" s="93" t="s">
        <v>230</v>
      </c>
      <c r="E14" s="94">
        <v>20000</v>
      </c>
      <c r="F14" s="94">
        <f t="shared" si="0"/>
        <v>20000</v>
      </c>
      <c r="G14" s="94">
        <f t="shared" si="1"/>
        <v>0</v>
      </c>
      <c r="H14" s="74"/>
      <c r="I14" s="74"/>
      <c r="J14" s="74"/>
      <c r="K14" s="74">
        <v>20000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44"/>
      <c r="AB14" s="44"/>
    </row>
    <row r="15" spans="1:28" ht="15" thickBot="1" x14ac:dyDescent="0.35">
      <c r="A15" s="154"/>
      <c r="B15" s="155"/>
      <c r="C15" s="156"/>
      <c r="D15" s="155"/>
      <c r="E15" s="157"/>
      <c r="F15" s="157"/>
      <c r="G15" s="157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45"/>
      <c r="AB15" s="45"/>
    </row>
    <row r="16" spans="1:28" s="14" customFormat="1" ht="15" thickBot="1" x14ac:dyDescent="0.35">
      <c r="A16" s="98" t="s">
        <v>46</v>
      </c>
      <c r="B16" s="43"/>
      <c r="C16" s="64"/>
      <c r="D16" s="43"/>
      <c r="E16" s="87">
        <f>SUM(E9:E15)</f>
        <v>100000</v>
      </c>
      <c r="F16" s="87">
        <f>SUM(F9:F15)</f>
        <v>100000</v>
      </c>
      <c r="G16" s="87">
        <f>SUM(G9:G15)</f>
        <v>0</v>
      </c>
      <c r="H16" s="87">
        <f>SUM(H9:H14)</f>
        <v>0</v>
      </c>
      <c r="I16" s="87">
        <f>SUM(I9:I14)</f>
        <v>0</v>
      </c>
      <c r="J16" s="87">
        <f>SUM(J9:J14)</f>
        <v>0</v>
      </c>
      <c r="K16" s="87">
        <f t="shared" ref="K16:AB16" si="2">SUM(K9:K15)</f>
        <v>100000</v>
      </c>
      <c r="L16" s="87">
        <f t="shared" si="2"/>
        <v>0</v>
      </c>
      <c r="M16" s="87">
        <f t="shared" si="2"/>
        <v>0</v>
      </c>
      <c r="N16" s="87">
        <f t="shared" si="2"/>
        <v>0</v>
      </c>
      <c r="O16" s="87">
        <f t="shared" si="2"/>
        <v>0</v>
      </c>
      <c r="P16" s="87">
        <f t="shared" si="2"/>
        <v>0</v>
      </c>
      <c r="Q16" s="87">
        <f t="shared" si="2"/>
        <v>0</v>
      </c>
      <c r="R16" s="87">
        <f t="shared" si="2"/>
        <v>0</v>
      </c>
      <c r="S16" s="87">
        <f t="shared" si="2"/>
        <v>0</v>
      </c>
      <c r="T16" s="87">
        <f t="shared" si="2"/>
        <v>0</v>
      </c>
      <c r="U16" s="87">
        <f t="shared" si="2"/>
        <v>0</v>
      </c>
      <c r="V16" s="87">
        <f t="shared" si="2"/>
        <v>0</v>
      </c>
      <c r="W16" s="87">
        <f t="shared" si="2"/>
        <v>0</v>
      </c>
      <c r="X16" s="87">
        <f t="shared" si="2"/>
        <v>0</v>
      </c>
      <c r="Y16" s="87">
        <f t="shared" si="2"/>
        <v>0</v>
      </c>
      <c r="Z16" s="87">
        <f t="shared" si="2"/>
        <v>0</v>
      </c>
      <c r="AA16" s="87">
        <f t="shared" si="2"/>
        <v>0</v>
      </c>
      <c r="AB16" s="87">
        <f t="shared" si="2"/>
        <v>0</v>
      </c>
    </row>
    <row r="17" spans="3:28" x14ac:dyDescent="0.3">
      <c r="E17" s="46"/>
      <c r="F17" s="46"/>
      <c r="G17" s="46"/>
      <c r="AA17" s="30"/>
      <c r="AB17" s="30"/>
    </row>
    <row r="18" spans="3:28" x14ac:dyDescent="0.3">
      <c r="C18" s="46"/>
      <c r="D18" s="46"/>
      <c r="E18" s="46"/>
      <c r="F18" s="44"/>
      <c r="G18" s="44"/>
      <c r="L18" s="30"/>
      <c r="Q18" s="30"/>
      <c r="R18" s="30"/>
      <c r="X18" s="30"/>
      <c r="AA18" s="30"/>
      <c r="AB18" s="30"/>
    </row>
    <row r="19" spans="3:28" x14ac:dyDescent="0.3">
      <c r="C19" s="46"/>
      <c r="D19" s="46"/>
      <c r="E19" s="46"/>
      <c r="F19" s="44"/>
      <c r="G19" s="44"/>
      <c r="Q19" s="30"/>
      <c r="AA19" s="30"/>
      <c r="AB19" s="30"/>
    </row>
    <row r="20" spans="3:28" x14ac:dyDescent="0.3">
      <c r="C20" s="46"/>
      <c r="D20" s="46"/>
      <c r="E20" s="46"/>
      <c r="F20" s="44"/>
      <c r="G20" s="44"/>
      <c r="AA20" s="30"/>
      <c r="AB20" s="30"/>
    </row>
    <row r="21" spans="3:28" x14ac:dyDescent="0.3">
      <c r="C21" s="46"/>
      <c r="D21" s="46"/>
      <c r="E21" s="46"/>
      <c r="F21" s="44"/>
      <c r="G21" s="44"/>
      <c r="AA21" s="30"/>
      <c r="AB21" s="30"/>
    </row>
    <row r="22" spans="3:28" x14ac:dyDescent="0.3">
      <c r="C22" s="46"/>
      <c r="D22" s="46"/>
      <c r="E22" s="46"/>
      <c r="F22" s="44"/>
      <c r="G22" s="44"/>
      <c r="AA22" s="30"/>
      <c r="AB22" s="30"/>
    </row>
    <row r="23" spans="3:28" x14ac:dyDescent="0.3">
      <c r="C23" s="46"/>
      <c r="D23" s="46"/>
      <c r="E23" s="46"/>
      <c r="F23" s="44"/>
      <c r="G23" s="44"/>
      <c r="AA23" s="30"/>
      <c r="AB23" s="30"/>
    </row>
    <row r="24" spans="3:28" x14ac:dyDescent="0.3">
      <c r="C24" s="46"/>
      <c r="D24" s="46"/>
      <c r="E24" s="46"/>
      <c r="F24" s="44"/>
      <c r="G24" s="44"/>
      <c r="AA24" s="30"/>
      <c r="AB24" s="30"/>
    </row>
    <row r="25" spans="3:28" x14ac:dyDescent="0.3">
      <c r="C25" s="46"/>
      <c r="D25" s="46"/>
      <c r="E25" s="46"/>
      <c r="F25" s="44"/>
      <c r="G25" s="44"/>
      <c r="AA25" s="30"/>
      <c r="AB25" s="30"/>
    </row>
    <row r="26" spans="3:28" x14ac:dyDescent="0.3">
      <c r="C26" s="46"/>
      <c r="D26" s="46"/>
      <c r="E26" s="46"/>
      <c r="F26" s="44"/>
      <c r="G26" s="44"/>
      <c r="AA26" s="30"/>
      <c r="AB26" s="30"/>
    </row>
    <row r="27" spans="3:28" x14ac:dyDescent="0.3">
      <c r="C27" s="46"/>
      <c r="D27" s="46"/>
      <c r="E27" s="46"/>
      <c r="F27" s="44"/>
      <c r="G27" s="44"/>
      <c r="AA27" s="30"/>
      <c r="AB27" s="30"/>
    </row>
    <row r="28" spans="3:28" x14ac:dyDescent="0.3">
      <c r="C28" s="46"/>
      <c r="D28" s="46"/>
      <c r="E28" s="46"/>
      <c r="F28" s="44"/>
      <c r="G28" s="44"/>
      <c r="AA28" s="30"/>
      <c r="AB28" s="30"/>
    </row>
    <row r="29" spans="3:28" x14ac:dyDescent="0.3">
      <c r="C29" s="46"/>
      <c r="D29" s="46"/>
      <c r="E29" s="46"/>
      <c r="F29" s="44"/>
      <c r="G29" s="44"/>
      <c r="AA29" s="30"/>
      <c r="AB29" s="30"/>
    </row>
    <row r="30" spans="3:28" x14ac:dyDescent="0.3">
      <c r="C30" s="46"/>
      <c r="D30" s="46"/>
      <c r="E30" s="46"/>
      <c r="F30" s="44"/>
      <c r="G30" s="44"/>
    </row>
    <row r="31" spans="3:28" x14ac:dyDescent="0.3">
      <c r="C31" s="46"/>
      <c r="D31" s="46"/>
      <c r="E31" s="46"/>
      <c r="F31" s="44"/>
      <c r="G31" s="44"/>
    </row>
    <row r="32" spans="3:28" x14ac:dyDescent="0.3">
      <c r="C32" s="46"/>
      <c r="D32" s="46"/>
      <c r="E32" s="46"/>
      <c r="F32" s="44"/>
      <c r="G32" s="44"/>
    </row>
    <row r="33" spans="3:7" x14ac:dyDescent="0.3">
      <c r="C33" s="46"/>
      <c r="D33" s="46"/>
      <c r="E33" s="46"/>
      <c r="F33" s="44"/>
      <c r="G33" s="44"/>
    </row>
    <row r="34" spans="3:7" x14ac:dyDescent="0.3">
      <c r="E34" s="46"/>
      <c r="F34" s="46"/>
      <c r="G34" s="46"/>
    </row>
    <row r="35" spans="3:7" x14ac:dyDescent="0.3">
      <c r="E35" s="46"/>
      <c r="F35" s="46"/>
      <c r="G35" s="46"/>
    </row>
    <row r="36" spans="3:7" x14ac:dyDescent="0.3">
      <c r="E36" s="46"/>
      <c r="F36" s="46"/>
      <c r="G36" s="46"/>
    </row>
    <row r="37" spans="3:7" x14ac:dyDescent="0.3">
      <c r="E37" s="46"/>
      <c r="F37" s="46"/>
      <c r="G37" s="46"/>
    </row>
    <row r="38" spans="3:7" x14ac:dyDescent="0.3">
      <c r="E38" s="46"/>
      <c r="F38" s="46"/>
      <c r="G38" s="46"/>
    </row>
    <row r="39" spans="3:7" x14ac:dyDescent="0.3">
      <c r="F39" s="46"/>
      <c r="G39" s="46"/>
    </row>
    <row r="40" spans="3:7" x14ac:dyDescent="0.3">
      <c r="F40" s="46"/>
      <c r="G40" s="46"/>
    </row>
    <row r="41" spans="3:7" x14ac:dyDescent="0.3">
      <c r="F41" s="46"/>
      <c r="G41" s="46"/>
    </row>
  </sheetData>
  <mergeCells count="1">
    <mergeCell ref="A7:G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9">
    <tabColor theme="2"/>
  </sheetPr>
  <dimension ref="A1:Y22"/>
  <sheetViews>
    <sheetView zoomScale="70" zoomScaleNormal="70" workbookViewId="0">
      <pane xSplit="7" ySplit="8" topLeftCell="L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S11" sqref="S11"/>
    </sheetView>
  </sheetViews>
  <sheetFormatPr defaultRowHeight="14.4" x14ac:dyDescent="0.3"/>
  <cols>
    <col min="1" max="1" width="27.44140625" customWidth="1"/>
    <col min="2" max="2" width="42.5546875" customWidth="1"/>
    <col min="3" max="3" width="18.5546875" customWidth="1"/>
    <col min="4" max="4" width="14.5546875" customWidth="1"/>
    <col min="5" max="5" width="14.44140625" customWidth="1"/>
    <col min="6" max="6" width="13.44140625" customWidth="1"/>
    <col min="7" max="7" width="12.44140625" customWidth="1"/>
    <col min="10" max="10" width="14.5546875" customWidth="1"/>
    <col min="11" max="11" width="17.33203125" customWidth="1"/>
    <col min="12" max="12" width="13" customWidth="1"/>
    <col min="13" max="13" width="12.5546875" customWidth="1"/>
    <col min="15" max="15" width="12.44140625" customWidth="1"/>
    <col min="17" max="17" width="10.33203125" bestFit="1" customWidth="1"/>
    <col min="18" max="18" width="10.5546875" customWidth="1"/>
    <col min="19" max="19" width="14" customWidth="1"/>
    <col min="21" max="21" width="10.5546875" bestFit="1" customWidth="1"/>
    <col min="22" max="22" width="12" customWidth="1"/>
  </cols>
  <sheetData>
    <row r="1" spans="1:25" ht="21" x14ac:dyDescent="0.4">
      <c r="A1" s="47" t="s">
        <v>0</v>
      </c>
      <c r="B1" s="53"/>
      <c r="C1" s="48" t="s">
        <v>87</v>
      </c>
      <c r="D1" s="48"/>
      <c r="E1" s="48"/>
      <c r="F1" s="47"/>
      <c r="G1" s="49"/>
      <c r="H1" s="54"/>
      <c r="I1" s="54"/>
      <c r="J1" s="48"/>
      <c r="K1" s="48"/>
      <c r="L1" s="48"/>
      <c r="M1" s="47"/>
      <c r="N1" s="47" t="str">
        <f>$C$1</f>
        <v>IEL CIVICS</v>
      </c>
      <c r="O1" s="49"/>
      <c r="P1" s="49"/>
      <c r="Q1" s="54"/>
      <c r="R1" s="54"/>
      <c r="S1" s="48"/>
      <c r="T1" s="47" t="str">
        <f>$C$1</f>
        <v>IEL CIVICS</v>
      </c>
      <c r="U1" s="47"/>
      <c r="V1" s="47"/>
      <c r="W1" s="48"/>
      <c r="X1" s="48"/>
      <c r="Y1" s="47"/>
    </row>
    <row r="2" spans="1:25" ht="19.5" customHeight="1" x14ac:dyDescent="0.4">
      <c r="A2" s="56" t="s">
        <v>147</v>
      </c>
      <c r="B2" s="56"/>
      <c r="C2" s="56" t="s">
        <v>151</v>
      </c>
      <c r="D2" s="47"/>
      <c r="E2" s="47"/>
      <c r="F2" s="47"/>
      <c r="G2" s="126"/>
      <c r="H2" s="126"/>
      <c r="I2" s="126"/>
      <c r="J2" s="15"/>
      <c r="K2" s="15"/>
      <c r="L2" s="15"/>
      <c r="M2" s="15"/>
      <c r="N2" s="51" t="str">
        <f>"FY"&amp;$C$4</f>
        <v>FY2020-21</v>
      </c>
      <c r="O2" s="15"/>
      <c r="P2" s="15"/>
      <c r="Q2" s="15"/>
      <c r="R2" s="15"/>
      <c r="S2" s="15"/>
      <c r="T2" s="131" t="str">
        <f>"FY"&amp;$C$4</f>
        <v>FY2020-21</v>
      </c>
      <c r="U2" s="15"/>
      <c r="V2" s="15"/>
      <c r="W2" s="15"/>
      <c r="X2" s="15"/>
      <c r="Y2" s="47"/>
    </row>
    <row r="3" spans="1:25" ht="15.6" x14ac:dyDescent="0.3">
      <c r="A3" s="50" t="s">
        <v>1</v>
      </c>
      <c r="B3" s="53"/>
      <c r="C3" s="51">
        <v>6002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5.6" x14ac:dyDescent="0.3">
      <c r="A4" s="50" t="s">
        <v>2</v>
      </c>
      <c r="B4" s="53"/>
      <c r="C4" s="51" t="s">
        <v>495</v>
      </c>
      <c r="D4" s="51"/>
      <c r="E4" s="51"/>
      <c r="F4" s="19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5.6" x14ac:dyDescent="0.3">
      <c r="A5" s="50" t="s">
        <v>469</v>
      </c>
      <c r="B5" s="50"/>
      <c r="C5" s="383" t="s">
        <v>678</v>
      </c>
      <c r="D5" s="50"/>
      <c r="E5" s="50"/>
      <c r="F5" s="50"/>
      <c r="G5" s="9"/>
      <c r="H5" s="9"/>
      <c r="I5" s="9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15.6" x14ac:dyDescent="0.3">
      <c r="A6" s="50"/>
      <c r="B6" s="50"/>
      <c r="C6" s="67"/>
      <c r="D6" s="50"/>
      <c r="E6" s="50"/>
      <c r="F6" s="50"/>
      <c r="G6" s="9"/>
      <c r="H6" s="9"/>
      <c r="I6" s="9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21.6" thickBot="1" x14ac:dyDescent="0.45">
      <c r="A7" s="47"/>
      <c r="B7" s="50"/>
      <c r="C7" s="53"/>
      <c r="D7" s="53"/>
      <c r="E7" s="53"/>
      <c r="F7" s="50"/>
      <c r="G7" s="9"/>
      <c r="H7" s="9"/>
      <c r="I7" s="9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ht="43.8" thickBot="1" x14ac:dyDescent="0.35">
      <c r="A8" s="11" t="s">
        <v>138</v>
      </c>
      <c r="B8" s="12" t="s">
        <v>132</v>
      </c>
      <c r="C8" s="13" t="s">
        <v>15</v>
      </c>
      <c r="D8" s="55"/>
      <c r="E8" s="55" t="s">
        <v>140</v>
      </c>
      <c r="F8" s="12" t="s">
        <v>16</v>
      </c>
      <c r="G8" s="25" t="s">
        <v>17</v>
      </c>
      <c r="H8" s="26" t="s">
        <v>238</v>
      </c>
      <c r="I8" s="27" t="s">
        <v>239</v>
      </c>
      <c r="J8" s="26" t="s">
        <v>240</v>
      </c>
      <c r="K8" s="27" t="s">
        <v>400</v>
      </c>
      <c r="L8" s="26" t="s">
        <v>401</v>
      </c>
      <c r="M8" s="27" t="s">
        <v>466</v>
      </c>
      <c r="N8" s="27" t="s">
        <v>496</v>
      </c>
      <c r="O8" s="27" t="s">
        <v>497</v>
      </c>
      <c r="P8" s="27" t="s">
        <v>498</v>
      </c>
      <c r="Q8" s="27" t="s">
        <v>499</v>
      </c>
      <c r="R8" s="27" t="s">
        <v>500</v>
      </c>
      <c r="S8" s="27" t="s">
        <v>501</v>
      </c>
      <c r="T8" s="26" t="s">
        <v>502</v>
      </c>
      <c r="U8" s="27" t="s">
        <v>503</v>
      </c>
      <c r="V8" s="27" t="s">
        <v>504</v>
      </c>
      <c r="W8" s="27" t="s">
        <v>505</v>
      </c>
      <c r="X8" s="26" t="s">
        <v>506</v>
      </c>
      <c r="Y8" s="12" t="s">
        <v>158</v>
      </c>
    </row>
    <row r="9" spans="1:25" ht="15" thickBot="1" x14ac:dyDescent="0.35">
      <c r="A9" s="103">
        <v>1010</v>
      </c>
      <c r="B9" s="323" t="s">
        <v>244</v>
      </c>
      <c r="C9" s="228">
        <v>162921</v>
      </c>
      <c r="D9" s="103"/>
      <c r="E9" s="228">
        <f t="shared" ref="E9:E14" si="0">C9+D9</f>
        <v>162921</v>
      </c>
      <c r="F9" s="229">
        <f t="shared" ref="F9:F14" si="1">SUM(H9:X9)</f>
        <v>143658.57999999999</v>
      </c>
      <c r="G9" s="230">
        <f>E9-F9</f>
        <v>19262.420000000013</v>
      </c>
      <c r="H9" s="209"/>
      <c r="I9" s="209"/>
      <c r="J9" s="209"/>
      <c r="K9" s="215">
        <v>30887.81</v>
      </c>
      <c r="L9" s="215">
        <v>14243.13</v>
      </c>
      <c r="M9" s="209">
        <v>12359.06</v>
      </c>
      <c r="N9" s="209">
        <v>8122.68</v>
      </c>
      <c r="O9" s="209">
        <v>16311.5</v>
      </c>
      <c r="P9" s="209"/>
      <c r="Q9" s="209">
        <f>13188.15+19465.37</f>
        <v>32653.519999999997</v>
      </c>
      <c r="R9" s="357">
        <v>16261.03</v>
      </c>
      <c r="S9" s="209">
        <v>12819.85</v>
      </c>
      <c r="T9" s="209"/>
      <c r="U9" s="214"/>
      <c r="V9" s="214"/>
      <c r="W9" s="209"/>
      <c r="X9" s="209"/>
      <c r="Y9" s="215"/>
    </row>
    <row r="10" spans="1:25" ht="15" thickBot="1" x14ac:dyDescent="0.35">
      <c r="A10" s="103" t="s">
        <v>30</v>
      </c>
      <c r="B10" s="358" t="s">
        <v>375</v>
      </c>
      <c r="C10" s="228">
        <v>95005</v>
      </c>
      <c r="D10" s="103"/>
      <c r="E10" s="228">
        <f t="shared" si="0"/>
        <v>95005</v>
      </c>
      <c r="F10" s="229">
        <f t="shared" si="1"/>
        <v>41339</v>
      </c>
      <c r="G10" s="230">
        <f t="shared" ref="G10:G14" si="2">E10-F10</f>
        <v>53666</v>
      </c>
      <c r="H10" s="209"/>
      <c r="I10" s="209"/>
      <c r="J10" s="209"/>
      <c r="K10" s="209"/>
      <c r="L10" s="226"/>
      <c r="M10" s="209"/>
      <c r="N10" s="209"/>
      <c r="O10" s="209"/>
      <c r="P10" s="209"/>
      <c r="Q10" s="209">
        <v>28612</v>
      </c>
      <c r="R10" s="328"/>
      <c r="S10" s="209">
        <v>12727</v>
      </c>
      <c r="T10" s="209"/>
      <c r="U10" s="210"/>
      <c r="V10" s="210"/>
      <c r="W10" s="209"/>
      <c r="X10" s="209"/>
      <c r="Y10" s="215"/>
    </row>
    <row r="11" spans="1:25" ht="29.4" thickBot="1" x14ac:dyDescent="0.35">
      <c r="A11" s="103" t="s">
        <v>332</v>
      </c>
      <c r="B11" s="322" t="s">
        <v>514</v>
      </c>
      <c r="C11" s="228">
        <v>100000</v>
      </c>
      <c r="D11" s="103"/>
      <c r="E11" s="228">
        <f t="shared" si="0"/>
        <v>100000</v>
      </c>
      <c r="F11" s="229">
        <f t="shared" si="1"/>
        <v>25500.89</v>
      </c>
      <c r="G11" s="230">
        <f t="shared" si="2"/>
        <v>74499.11</v>
      </c>
      <c r="H11" s="209"/>
      <c r="I11" s="209"/>
      <c r="J11" s="209"/>
      <c r="K11" s="209"/>
      <c r="L11" s="215">
        <v>6428.7</v>
      </c>
      <c r="M11" s="209"/>
      <c r="N11" s="209">
        <v>19072.189999999999</v>
      </c>
      <c r="O11" s="209"/>
      <c r="P11" s="209"/>
      <c r="Q11" s="209"/>
      <c r="R11" s="328"/>
      <c r="S11" s="209"/>
      <c r="T11" s="209"/>
      <c r="U11" s="214"/>
      <c r="V11" s="214"/>
      <c r="W11" s="209"/>
      <c r="X11" s="209"/>
      <c r="Y11" s="215"/>
    </row>
    <row r="12" spans="1:25" ht="15" thickBot="1" x14ac:dyDescent="0.35">
      <c r="A12" s="103" t="s">
        <v>10</v>
      </c>
      <c r="B12" s="323" t="s">
        <v>515</v>
      </c>
      <c r="C12" s="228">
        <v>320681</v>
      </c>
      <c r="D12" s="103"/>
      <c r="E12" s="228">
        <f t="shared" si="0"/>
        <v>320681</v>
      </c>
      <c r="F12" s="229">
        <f t="shared" si="1"/>
        <v>309617</v>
      </c>
      <c r="G12" s="230">
        <f t="shared" si="2"/>
        <v>11064</v>
      </c>
      <c r="H12" s="209"/>
      <c r="I12" s="209"/>
      <c r="J12" s="209"/>
      <c r="K12" s="209"/>
      <c r="L12" s="215">
        <v>90991</v>
      </c>
      <c r="M12" s="209">
        <v>22116</v>
      </c>
      <c r="N12" s="209">
        <f>6739.44+15001.56</f>
        <v>21741</v>
      </c>
      <c r="O12" s="209">
        <f>8.5+28713.5</f>
        <v>28722</v>
      </c>
      <c r="P12" s="209">
        <v>78747</v>
      </c>
      <c r="Q12" s="209">
        <v>21667</v>
      </c>
      <c r="R12" s="328">
        <v>23530</v>
      </c>
      <c r="S12" s="209">
        <v>22103</v>
      </c>
      <c r="T12" s="209"/>
      <c r="U12" s="214"/>
      <c r="V12" s="214"/>
      <c r="W12" s="209"/>
      <c r="X12" s="209"/>
      <c r="Y12" s="215"/>
    </row>
    <row r="13" spans="1:25" ht="15" thickBot="1" x14ac:dyDescent="0.35">
      <c r="A13" s="103" t="s">
        <v>11</v>
      </c>
      <c r="B13" s="323" t="s">
        <v>12</v>
      </c>
      <c r="C13" s="228">
        <v>100000</v>
      </c>
      <c r="D13" s="103"/>
      <c r="E13" s="228">
        <f t="shared" si="0"/>
        <v>100000</v>
      </c>
      <c r="F13" s="229">
        <f t="shared" si="1"/>
        <v>62613.529999999992</v>
      </c>
      <c r="G13" s="230">
        <f t="shared" si="2"/>
        <v>37386.470000000008</v>
      </c>
      <c r="H13" s="209"/>
      <c r="I13" s="209"/>
      <c r="J13" s="209"/>
      <c r="K13" s="209">
        <v>3859.59</v>
      </c>
      <c r="L13" s="215"/>
      <c r="M13" s="209">
        <v>11659.71</v>
      </c>
      <c r="N13" s="209">
        <v>6777.91</v>
      </c>
      <c r="O13" s="209">
        <v>3468.69</v>
      </c>
      <c r="P13" s="209"/>
      <c r="Q13" s="209">
        <v>15181.62</v>
      </c>
      <c r="R13" s="328">
        <v>14875.05</v>
      </c>
      <c r="S13" s="209">
        <v>6790.96</v>
      </c>
      <c r="T13" s="209"/>
      <c r="U13" s="214"/>
      <c r="V13" s="214"/>
      <c r="W13" s="209"/>
      <c r="X13" s="209"/>
      <c r="Y13" s="214"/>
    </row>
    <row r="14" spans="1:25" ht="15" thickBot="1" x14ac:dyDescent="0.35">
      <c r="A14" s="103" t="s">
        <v>70</v>
      </c>
      <c r="B14" s="323" t="s">
        <v>241</v>
      </c>
      <c r="C14" s="228">
        <v>139015</v>
      </c>
      <c r="D14" s="103"/>
      <c r="E14" s="228">
        <f t="shared" si="0"/>
        <v>139015</v>
      </c>
      <c r="F14" s="229">
        <f t="shared" si="1"/>
        <v>123439.95000000003</v>
      </c>
      <c r="G14" s="230">
        <f t="shared" si="2"/>
        <v>15575.049999999974</v>
      </c>
      <c r="H14" s="209"/>
      <c r="I14" s="209"/>
      <c r="J14" s="209">
        <v>15796.97</v>
      </c>
      <c r="K14" s="209">
        <v>15775.68</v>
      </c>
      <c r="L14" s="209">
        <v>12198.84</v>
      </c>
      <c r="M14" s="209">
        <v>5768.26</v>
      </c>
      <c r="N14" s="209">
        <v>10380.75</v>
      </c>
      <c r="O14" s="209">
        <v>11757.53</v>
      </c>
      <c r="P14" s="215"/>
      <c r="Q14" s="209">
        <v>25038.02</v>
      </c>
      <c r="R14" s="328">
        <v>18944.439999999999</v>
      </c>
      <c r="S14" s="209">
        <v>7779.46</v>
      </c>
      <c r="T14" s="209"/>
      <c r="U14" s="214"/>
      <c r="V14" s="214"/>
      <c r="W14" s="209"/>
      <c r="X14" s="209"/>
      <c r="Y14" s="214"/>
    </row>
    <row r="15" spans="1:25" ht="15" thickBot="1" x14ac:dyDescent="0.35">
      <c r="A15" s="44"/>
      <c r="B15" s="44"/>
      <c r="C15" s="215"/>
      <c r="D15" s="44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327"/>
      <c r="S15" s="215"/>
      <c r="T15" s="215"/>
      <c r="U15" s="215"/>
      <c r="V15" s="215"/>
      <c r="W15" s="215"/>
      <c r="X15" s="215"/>
      <c r="Y15" s="215"/>
    </row>
    <row r="16" spans="1:25" ht="15" thickBot="1" x14ac:dyDescent="0.35">
      <c r="A16" s="77" t="s">
        <v>46</v>
      </c>
      <c r="B16" s="42"/>
      <c r="C16" s="227">
        <f t="shared" ref="C16:Y16" si="3">SUM(C9:C14)</f>
        <v>917622</v>
      </c>
      <c r="D16" s="78">
        <f t="shared" si="3"/>
        <v>0</v>
      </c>
      <c r="E16" s="227">
        <f t="shared" si="3"/>
        <v>917622</v>
      </c>
      <c r="F16" s="227">
        <f t="shared" si="3"/>
        <v>706168.95000000007</v>
      </c>
      <c r="G16" s="227">
        <f t="shared" si="3"/>
        <v>211453.05</v>
      </c>
      <c r="H16" s="227">
        <f t="shared" si="3"/>
        <v>0</v>
      </c>
      <c r="I16" s="227">
        <f t="shared" si="3"/>
        <v>0</v>
      </c>
      <c r="J16" s="227">
        <f t="shared" si="3"/>
        <v>15796.97</v>
      </c>
      <c r="K16" s="227">
        <f t="shared" si="3"/>
        <v>50523.08</v>
      </c>
      <c r="L16" s="227">
        <f t="shared" si="3"/>
        <v>123861.67</v>
      </c>
      <c r="M16" s="227">
        <f t="shared" si="3"/>
        <v>51903.03</v>
      </c>
      <c r="N16" s="227">
        <f t="shared" si="3"/>
        <v>66094.53</v>
      </c>
      <c r="O16" s="227">
        <f t="shared" si="3"/>
        <v>60259.72</v>
      </c>
      <c r="P16" s="227">
        <f t="shared" si="3"/>
        <v>78747</v>
      </c>
      <c r="Q16" s="227">
        <f t="shared" si="3"/>
        <v>123152.15999999999</v>
      </c>
      <c r="R16" s="227">
        <f t="shared" si="3"/>
        <v>73610.52</v>
      </c>
      <c r="S16" s="227">
        <f t="shared" si="3"/>
        <v>62220.27</v>
      </c>
      <c r="T16" s="227">
        <f t="shared" si="3"/>
        <v>0</v>
      </c>
      <c r="U16" s="227">
        <f t="shared" si="3"/>
        <v>0</v>
      </c>
      <c r="V16" s="227">
        <f t="shared" si="3"/>
        <v>0</v>
      </c>
      <c r="W16" s="227">
        <f t="shared" si="3"/>
        <v>0</v>
      </c>
      <c r="X16" s="227">
        <f t="shared" si="3"/>
        <v>0</v>
      </c>
      <c r="Y16" s="227">
        <f t="shared" si="3"/>
        <v>0</v>
      </c>
    </row>
    <row r="17" spans="5:25" x14ac:dyDescent="0.3">
      <c r="E17" s="215"/>
      <c r="F17" s="215" t="s">
        <v>680</v>
      </c>
      <c r="G17" s="215"/>
      <c r="H17" s="215"/>
      <c r="I17" s="215"/>
      <c r="J17" s="363">
        <v>15796.97</v>
      </c>
      <c r="K17" s="363">
        <v>50523.08</v>
      </c>
      <c r="L17" s="363">
        <v>123861.67</v>
      </c>
      <c r="M17" s="363"/>
      <c r="N17" s="363">
        <v>32160.22</v>
      </c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</row>
    <row r="18" spans="5:25" x14ac:dyDescent="0.3">
      <c r="E18" s="215"/>
      <c r="F18" s="215"/>
      <c r="G18" s="215"/>
      <c r="H18" s="215"/>
      <c r="I18" s="215"/>
      <c r="J18" s="363"/>
      <c r="K18" s="363"/>
      <c r="L18" s="363"/>
      <c r="M18" s="363"/>
      <c r="N18" s="363">
        <v>33934.31</v>
      </c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</row>
    <row r="19" spans="5:25" x14ac:dyDescent="0.3">
      <c r="E19" s="215"/>
      <c r="F19" s="215"/>
      <c r="G19" s="215"/>
      <c r="H19" s="215"/>
      <c r="I19" s="215"/>
      <c r="J19" s="363"/>
      <c r="K19" s="363"/>
      <c r="L19" s="363"/>
      <c r="M19" s="363"/>
      <c r="N19" s="363">
        <f>SUM(N17:N18)</f>
        <v>66094.53</v>
      </c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</row>
    <row r="20" spans="5:25" x14ac:dyDescent="0.3">
      <c r="H20" s="215"/>
      <c r="I20" s="215"/>
      <c r="J20" s="363"/>
      <c r="K20" s="363"/>
      <c r="L20" s="363"/>
      <c r="M20" s="363"/>
      <c r="N20" s="363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</row>
    <row r="21" spans="5:25" x14ac:dyDescent="0.3">
      <c r="J21" s="364"/>
      <c r="K21" s="364"/>
      <c r="L21" s="364"/>
      <c r="M21" s="364"/>
      <c r="N21" s="364"/>
    </row>
    <row r="22" spans="5:25" x14ac:dyDescent="0.3">
      <c r="J22" s="364"/>
      <c r="K22" s="364"/>
      <c r="L22" s="364"/>
      <c r="M22" s="364"/>
      <c r="N22" s="364"/>
    </row>
  </sheetData>
  <sheetProtection algorithmName="SHA-512" hashValue="x3Nt0PZxpy/cqDF2bv0xorYsjLWobaBEetyt1ObOEoDfNdMFdtUumhihtB6fTOfivOicSfu200lHbgSbrMNNGg==" saltValue="saMcngSu5N+JPpuOg7Ge1Q==" spinCount="100000" sheet="1" objects="1" scenarios="1"/>
  <hyperlinks>
    <hyperlink ref="C5" r:id="rId1" xr:uid="{E9CD19A9-05CF-4E22-8AA5-D74DE33B1C41}"/>
  </hyperlinks>
  <pageMargins left="0.7" right="0.7" top="0.75" bottom="0.75" header="0.3" footer="0.3"/>
  <pageSetup orientation="portrait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>
    <tabColor theme="2"/>
  </sheetPr>
  <dimension ref="A1:AD15"/>
  <sheetViews>
    <sheetView workbookViewId="0">
      <selection activeCell="K35" sqref="K35"/>
    </sheetView>
  </sheetViews>
  <sheetFormatPr defaultRowHeight="14.4" x14ac:dyDescent="0.3"/>
  <cols>
    <col min="3" max="30" width="15.5546875" customWidth="1"/>
  </cols>
  <sheetData>
    <row r="1" spans="1:30" ht="21" x14ac:dyDescent="0.4">
      <c r="A1" s="47" t="s">
        <v>0</v>
      </c>
      <c r="B1" s="53"/>
      <c r="C1" s="48" t="s">
        <v>131</v>
      </c>
      <c r="D1" s="48"/>
      <c r="E1" s="48"/>
      <c r="F1" s="47"/>
      <c r="G1" s="49"/>
      <c r="H1" s="48"/>
      <c r="I1" s="48"/>
      <c r="J1" s="48"/>
      <c r="K1" s="47"/>
      <c r="L1" s="47"/>
      <c r="M1" s="49"/>
      <c r="N1" s="47" t="str">
        <f>$C$1</f>
        <v xml:space="preserve">Javits Gifted and Talented - Right 4 Rural </v>
      </c>
      <c r="O1" s="54"/>
      <c r="P1" s="54"/>
      <c r="Q1" s="48"/>
      <c r="R1" s="48"/>
      <c r="S1" s="47"/>
      <c r="T1" s="47" t="str">
        <f>$C$1</f>
        <v xml:space="preserve">Javits Gifted and Talented - Right 4 Rural </v>
      </c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ht="21" x14ac:dyDescent="0.4">
      <c r="A2" s="47" t="s">
        <v>147</v>
      </c>
      <c r="B2" s="49"/>
      <c r="C2" s="47" t="s">
        <v>146</v>
      </c>
      <c r="D2" s="47"/>
      <c r="E2" s="47"/>
      <c r="F2" s="50"/>
      <c r="G2" s="9"/>
      <c r="H2" s="9"/>
      <c r="I2" s="9"/>
      <c r="J2" s="9"/>
      <c r="K2" s="52"/>
      <c r="L2" s="52"/>
      <c r="M2" s="52"/>
      <c r="N2" s="131" t="str">
        <f>"FY"&amp;$C$4</f>
        <v>FY2018-19</v>
      </c>
      <c r="O2" s="52"/>
      <c r="P2" s="52"/>
      <c r="Q2" s="52"/>
      <c r="R2" s="52"/>
      <c r="S2" s="52"/>
      <c r="T2" s="131" t="str">
        <f>"FY"&amp;$C$4</f>
        <v>FY2018-19</v>
      </c>
      <c r="U2" s="52"/>
      <c r="V2" s="52"/>
      <c r="W2" s="52"/>
      <c r="X2" s="52"/>
      <c r="Y2" s="52"/>
      <c r="Z2" s="52"/>
      <c r="AA2" s="52"/>
      <c r="AB2" s="52"/>
      <c r="AC2" s="47"/>
      <c r="AD2" s="47"/>
    </row>
    <row r="3" spans="1:30" ht="15.6" x14ac:dyDescent="0.3">
      <c r="A3" s="50" t="s">
        <v>1</v>
      </c>
      <c r="B3" s="53"/>
      <c r="C3" s="51">
        <v>5206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ht="15.6" x14ac:dyDescent="0.3">
      <c r="A4" s="50" t="s">
        <v>2</v>
      </c>
      <c r="B4" s="53"/>
      <c r="C4" s="51" t="s">
        <v>162</v>
      </c>
      <c r="D4" s="51"/>
      <c r="E4" s="51"/>
      <c r="F4" s="50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</row>
    <row r="5" spans="1:30" ht="15.6" x14ac:dyDescent="0.3">
      <c r="A5" s="50" t="s">
        <v>18</v>
      </c>
      <c r="B5" s="53"/>
      <c r="C5" s="50" t="s">
        <v>231</v>
      </c>
      <c r="D5" s="50"/>
      <c r="E5" s="50"/>
      <c r="F5" s="50"/>
      <c r="G5" s="9"/>
      <c r="H5" s="9"/>
      <c r="I5" s="9"/>
      <c r="J5" s="9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</row>
    <row r="6" spans="1:30" ht="15.6" x14ac:dyDescent="0.3">
      <c r="A6" s="50" t="s">
        <v>19</v>
      </c>
      <c r="B6" s="53"/>
      <c r="C6" s="50" t="s">
        <v>45</v>
      </c>
      <c r="D6" s="50"/>
      <c r="E6" s="50"/>
      <c r="F6" s="50"/>
      <c r="G6" s="9"/>
      <c r="H6" s="9"/>
      <c r="I6" s="9"/>
      <c r="J6" s="9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1:30" ht="16.2" thickBot="1" x14ac:dyDescent="0.35">
      <c r="A7" s="50"/>
      <c r="B7" s="53"/>
      <c r="C7" s="50"/>
      <c r="D7" s="50"/>
      <c r="E7" s="50"/>
      <c r="F7" s="50"/>
      <c r="G7" s="9"/>
      <c r="H7" s="9"/>
      <c r="I7" s="9"/>
      <c r="J7" s="9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30" ht="43.8" thickBot="1" x14ac:dyDescent="0.35">
      <c r="A8" s="127" t="s">
        <v>138</v>
      </c>
      <c r="B8" s="12" t="s">
        <v>132</v>
      </c>
      <c r="C8" s="12" t="s">
        <v>15</v>
      </c>
      <c r="D8" s="55" t="s">
        <v>105</v>
      </c>
      <c r="E8" s="55" t="s">
        <v>140</v>
      </c>
      <c r="F8" s="13" t="s">
        <v>16</v>
      </c>
      <c r="G8" s="29" t="s">
        <v>17</v>
      </c>
      <c r="H8" s="26" t="s">
        <v>56</v>
      </c>
      <c r="I8" s="27" t="s">
        <v>57</v>
      </c>
      <c r="J8" s="26" t="s">
        <v>58</v>
      </c>
      <c r="K8" s="27" t="s">
        <v>59</v>
      </c>
      <c r="L8" s="26" t="s">
        <v>60</v>
      </c>
      <c r="M8" s="27" t="s">
        <v>61</v>
      </c>
      <c r="N8" s="27" t="s">
        <v>62</v>
      </c>
      <c r="O8" s="27" t="s">
        <v>63</v>
      </c>
      <c r="P8" s="27" t="s">
        <v>64</v>
      </c>
      <c r="Q8" s="27" t="s">
        <v>118</v>
      </c>
      <c r="R8" s="27" t="s">
        <v>119</v>
      </c>
      <c r="S8" s="27" t="s">
        <v>129</v>
      </c>
      <c r="T8" s="27" t="s">
        <v>120</v>
      </c>
      <c r="U8" s="27" t="s">
        <v>121</v>
      </c>
      <c r="V8" s="27" t="s">
        <v>122</v>
      </c>
      <c r="W8" s="27" t="s">
        <v>123</v>
      </c>
      <c r="X8" s="27" t="s">
        <v>124</v>
      </c>
      <c r="Y8" s="27" t="s">
        <v>125</v>
      </c>
      <c r="Z8" s="27" t="s">
        <v>126</v>
      </c>
      <c r="AA8" s="27" t="s">
        <v>127</v>
      </c>
      <c r="AB8" s="27" t="s">
        <v>128</v>
      </c>
      <c r="AC8" s="12" t="s">
        <v>157</v>
      </c>
      <c r="AD8" s="12" t="s">
        <v>158</v>
      </c>
    </row>
    <row r="9" spans="1:30" ht="15" thickBot="1" x14ac:dyDescent="0.35">
      <c r="A9" s="105"/>
      <c r="B9" s="106"/>
      <c r="C9" s="107"/>
      <c r="D9" s="103">
        <v>0</v>
      </c>
      <c r="E9" s="103">
        <f>C9+D9</f>
        <v>0</v>
      </c>
      <c r="F9" s="107">
        <f>SUM(H9:AC9)</f>
        <v>0</v>
      </c>
      <c r="G9" s="107">
        <f>C9-F9</f>
        <v>0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44"/>
      <c r="AD9" s="44"/>
    </row>
    <row r="10" spans="1:30" ht="15" thickBot="1" x14ac:dyDescent="0.35">
      <c r="A10" s="70"/>
      <c r="B10" s="123"/>
      <c r="C10" s="107"/>
      <c r="D10" s="103">
        <v>0</v>
      </c>
      <c r="E10" s="103">
        <f t="shared" ref="E10:E15" si="0">C10+D10</f>
        <v>0</v>
      </c>
      <c r="F10" s="107">
        <f>SUM(H10:AC10)</f>
        <v>0</v>
      </c>
      <c r="G10" s="107">
        <f t="shared" ref="G10:G12" si="1">C10-F10</f>
        <v>0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44"/>
      <c r="AD10" s="44"/>
    </row>
    <row r="11" spans="1:30" ht="15" thickBot="1" x14ac:dyDescent="0.35">
      <c r="A11" s="124"/>
      <c r="B11" s="123"/>
      <c r="C11" s="107"/>
      <c r="D11" s="103">
        <v>0</v>
      </c>
      <c r="E11" s="103">
        <f t="shared" si="0"/>
        <v>0</v>
      </c>
      <c r="F11" s="107">
        <f>SUM(H11:AC11)</f>
        <v>0</v>
      </c>
      <c r="G11" s="107">
        <f t="shared" si="1"/>
        <v>0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44"/>
      <c r="AD11" s="44"/>
    </row>
    <row r="12" spans="1:30" ht="15" thickBot="1" x14ac:dyDescent="0.35">
      <c r="A12" s="70"/>
      <c r="B12" s="123"/>
      <c r="C12" s="107"/>
      <c r="D12" s="103">
        <v>0</v>
      </c>
      <c r="E12" s="103">
        <f t="shared" si="0"/>
        <v>0</v>
      </c>
      <c r="F12" s="107">
        <f>SUM(H12:AB12)</f>
        <v>0</v>
      </c>
      <c r="G12" s="107">
        <f t="shared" si="1"/>
        <v>0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75"/>
      <c r="AD12" s="75"/>
    </row>
    <row r="13" spans="1:30" ht="15" thickBot="1" x14ac:dyDescent="0.35">
      <c r="A13" s="70"/>
      <c r="B13" s="123"/>
      <c r="C13" s="107"/>
      <c r="D13" s="103">
        <v>0</v>
      </c>
      <c r="E13" s="103">
        <f>C13+D13</f>
        <v>0</v>
      </c>
      <c r="F13" s="107">
        <f>SUM(H13:AC13)</f>
        <v>0</v>
      </c>
      <c r="G13" s="107">
        <f>C13-F13</f>
        <v>0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44"/>
      <c r="AD13" s="44"/>
    </row>
    <row r="14" spans="1:30" ht="15" thickBot="1" x14ac:dyDescent="0.35">
      <c r="A14" s="70"/>
      <c r="B14" s="123"/>
      <c r="C14" s="109"/>
      <c r="D14" s="103"/>
      <c r="E14" s="103"/>
      <c r="F14" s="107"/>
      <c r="G14" s="107"/>
      <c r="H14" s="108"/>
      <c r="I14" s="108"/>
      <c r="J14" s="108"/>
      <c r="K14" s="108"/>
      <c r="L14" s="108"/>
      <c r="M14" s="108"/>
      <c r="N14" s="108"/>
      <c r="O14" s="108"/>
      <c r="P14" s="108"/>
      <c r="Q14" s="108" t="s">
        <v>33</v>
      </c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75"/>
      <c r="AD14" s="75"/>
    </row>
    <row r="15" spans="1:30" ht="15" thickBot="1" x14ac:dyDescent="0.35">
      <c r="A15" s="72" t="s">
        <v>46</v>
      </c>
      <c r="B15" s="42"/>
      <c r="C15" s="73">
        <f>SUM(C9:C12)</f>
        <v>0</v>
      </c>
      <c r="D15" s="117">
        <v>0</v>
      </c>
      <c r="E15" s="117">
        <f t="shared" si="0"/>
        <v>0</v>
      </c>
      <c r="F15" s="73">
        <f t="shared" ref="F15:AD15" si="2">SUM(F9:F12)</f>
        <v>0</v>
      </c>
      <c r="G15" s="73">
        <f t="shared" si="2"/>
        <v>0</v>
      </c>
      <c r="H15" s="73">
        <f t="shared" si="2"/>
        <v>0</v>
      </c>
      <c r="I15" s="73">
        <f t="shared" si="2"/>
        <v>0</v>
      </c>
      <c r="J15" s="73">
        <f t="shared" si="2"/>
        <v>0</v>
      </c>
      <c r="K15" s="73">
        <f t="shared" si="2"/>
        <v>0</v>
      </c>
      <c r="L15" s="73">
        <f t="shared" si="2"/>
        <v>0</v>
      </c>
      <c r="M15" s="73">
        <f t="shared" si="2"/>
        <v>0</v>
      </c>
      <c r="N15" s="73">
        <f t="shared" si="2"/>
        <v>0</v>
      </c>
      <c r="O15" s="73">
        <f t="shared" si="2"/>
        <v>0</v>
      </c>
      <c r="P15" s="73">
        <f t="shared" si="2"/>
        <v>0</v>
      </c>
      <c r="Q15" s="73">
        <f t="shared" si="2"/>
        <v>0</v>
      </c>
      <c r="R15" s="73">
        <f t="shared" si="2"/>
        <v>0</v>
      </c>
      <c r="S15" s="73">
        <f t="shared" si="2"/>
        <v>0</v>
      </c>
      <c r="T15" s="73">
        <f t="shared" si="2"/>
        <v>0</v>
      </c>
      <c r="U15" s="73">
        <f t="shared" si="2"/>
        <v>0</v>
      </c>
      <c r="V15" s="73">
        <f t="shared" si="2"/>
        <v>0</v>
      </c>
      <c r="W15" s="73">
        <f t="shared" si="2"/>
        <v>0</v>
      </c>
      <c r="X15" s="73">
        <f t="shared" si="2"/>
        <v>0</v>
      </c>
      <c r="Y15" s="73">
        <f t="shared" si="2"/>
        <v>0</v>
      </c>
      <c r="Z15" s="73">
        <f t="shared" si="2"/>
        <v>0</v>
      </c>
      <c r="AA15" s="73">
        <f t="shared" si="2"/>
        <v>0</v>
      </c>
      <c r="AB15" s="73">
        <f t="shared" si="2"/>
        <v>0</v>
      </c>
      <c r="AC15" s="73">
        <f t="shared" si="2"/>
        <v>0</v>
      </c>
      <c r="AD15" s="73">
        <f t="shared" si="2"/>
        <v>0</v>
      </c>
    </row>
  </sheetData>
  <sheetProtection algorithmName="SHA-512" hashValue="v6JOr2seKewSnceDUvGMDkDSNi+oQvq7L65fcLMZGU7gJvpOtUp4itWoTPuq8YGL4cDhkCDkwr7v13l5UblZLg==" saltValue="DYvGgJCeeaJadFj8hLGnow==" spinCount="100000" sheet="1" objects="1" scenarios="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tabColor theme="2"/>
  </sheetPr>
  <dimension ref="A1:AJ11"/>
  <sheetViews>
    <sheetView workbookViewId="0">
      <pane xSplit="7" ySplit="8" topLeftCell="H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L27" sqref="L27"/>
    </sheetView>
  </sheetViews>
  <sheetFormatPr defaultRowHeight="14.4" x14ac:dyDescent="0.3"/>
  <cols>
    <col min="3" max="36" width="15.5546875" customWidth="1"/>
  </cols>
  <sheetData>
    <row r="1" spans="1:36" ht="21" x14ac:dyDescent="0.4">
      <c r="A1" s="47" t="s">
        <v>0</v>
      </c>
      <c r="B1" s="53"/>
      <c r="C1" s="48" t="s">
        <v>131</v>
      </c>
      <c r="D1" s="48"/>
      <c r="E1" s="48"/>
      <c r="F1" s="47"/>
      <c r="G1" s="49"/>
      <c r="H1" s="48"/>
      <c r="I1" s="48"/>
      <c r="J1" s="48"/>
      <c r="K1" s="47"/>
      <c r="L1" s="47"/>
      <c r="M1" s="49"/>
      <c r="N1" s="47" t="str">
        <f>$C$1</f>
        <v xml:space="preserve">Javits Gifted and Talented - Right 4 Rural </v>
      </c>
      <c r="O1" s="54"/>
      <c r="P1" s="54"/>
      <c r="Q1" s="48"/>
      <c r="R1" s="48"/>
      <c r="S1" s="47"/>
      <c r="T1" s="47" t="str">
        <f>$C$1</f>
        <v xml:space="preserve">Javits Gifted and Talented - Right 4 Rural </v>
      </c>
      <c r="U1" s="47"/>
      <c r="V1" s="47"/>
      <c r="W1" s="47"/>
      <c r="X1" s="47"/>
      <c r="Y1" s="47"/>
      <c r="Z1" s="47"/>
      <c r="AA1" s="47" t="str">
        <f>$C$1</f>
        <v xml:space="preserve">Javits Gifted and Talented - Right 4 Rural </v>
      </c>
      <c r="AB1" s="54"/>
      <c r="AC1" s="54"/>
      <c r="AD1" s="54"/>
      <c r="AE1" s="54"/>
      <c r="AF1" s="54"/>
      <c r="AG1" s="54"/>
      <c r="AH1" s="54"/>
      <c r="AI1" s="47"/>
      <c r="AJ1" s="47"/>
    </row>
    <row r="2" spans="1:36" ht="21" x14ac:dyDescent="0.4">
      <c r="A2" s="47" t="s">
        <v>147</v>
      </c>
      <c r="B2" s="49"/>
      <c r="C2" s="47" t="s">
        <v>146</v>
      </c>
      <c r="D2" s="47"/>
      <c r="E2" s="47"/>
      <c r="F2" s="50"/>
      <c r="G2" s="9"/>
      <c r="H2" s="9"/>
      <c r="I2" s="9"/>
      <c r="J2" s="9"/>
      <c r="K2" s="52"/>
      <c r="L2" s="52"/>
      <c r="M2" s="52"/>
      <c r="N2" s="131" t="str">
        <f>"FY"&amp;$C$4</f>
        <v>FY2018-19</v>
      </c>
      <c r="O2" s="52"/>
      <c r="P2" s="52"/>
      <c r="Q2" s="52"/>
      <c r="R2" s="52"/>
      <c r="S2" s="52"/>
      <c r="T2" s="131" t="str">
        <f>"FY"&amp;$C$4</f>
        <v>FY2018-19</v>
      </c>
      <c r="U2" s="52"/>
      <c r="V2" s="52"/>
      <c r="W2" s="52"/>
      <c r="X2" s="52"/>
      <c r="Y2" s="52"/>
      <c r="Z2" s="52"/>
      <c r="AA2" s="131" t="str">
        <f>"FY"&amp;$C$4</f>
        <v>FY2018-19</v>
      </c>
      <c r="AB2" s="54"/>
      <c r="AC2" s="54"/>
      <c r="AD2" s="54"/>
      <c r="AE2" s="54"/>
      <c r="AF2" s="54"/>
      <c r="AG2" s="54"/>
      <c r="AH2" s="54"/>
      <c r="AI2" s="47"/>
      <c r="AJ2" s="47"/>
    </row>
    <row r="3" spans="1:36" ht="15.6" x14ac:dyDescent="0.3">
      <c r="A3" s="50" t="s">
        <v>1</v>
      </c>
      <c r="B3" s="53"/>
      <c r="C3" s="51">
        <v>5206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36" ht="15.6" x14ac:dyDescent="0.3">
      <c r="A4" s="50" t="s">
        <v>2</v>
      </c>
      <c r="B4" s="53"/>
      <c r="C4" s="51" t="s">
        <v>162</v>
      </c>
      <c r="D4" s="51"/>
      <c r="E4" s="51"/>
      <c r="F4" s="50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ht="15.6" x14ac:dyDescent="0.3">
      <c r="A5" s="50" t="s">
        <v>18</v>
      </c>
      <c r="B5" s="53"/>
      <c r="C5" s="50" t="s">
        <v>231</v>
      </c>
      <c r="D5" s="50"/>
      <c r="E5" s="50"/>
      <c r="F5" s="50"/>
      <c r="G5" s="9"/>
      <c r="H5" s="9"/>
      <c r="I5" s="9"/>
      <c r="J5" s="9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4"/>
      <c r="AC5" s="54"/>
      <c r="AD5" s="54"/>
      <c r="AE5" s="54"/>
      <c r="AF5" s="54"/>
      <c r="AG5" s="54"/>
      <c r="AH5" s="54"/>
      <c r="AI5" s="52"/>
      <c r="AJ5" s="52"/>
    </row>
    <row r="6" spans="1:36" ht="15.6" x14ac:dyDescent="0.3">
      <c r="A6" s="50" t="s">
        <v>19</v>
      </c>
      <c r="B6" s="53"/>
      <c r="C6" s="50" t="s">
        <v>21</v>
      </c>
      <c r="D6" s="50"/>
      <c r="E6" s="50"/>
      <c r="F6" s="50"/>
      <c r="G6" s="9"/>
      <c r="H6" s="9"/>
      <c r="I6" s="9"/>
      <c r="J6" s="9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ht="21.6" thickBot="1" x14ac:dyDescent="0.45">
      <c r="A7" s="47"/>
      <c r="B7" s="53"/>
      <c r="C7" s="19"/>
      <c r="D7" s="19"/>
      <c r="E7" s="19"/>
      <c r="F7" s="19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ht="43.8" thickBot="1" x14ac:dyDescent="0.35">
      <c r="A8" s="127" t="s">
        <v>138</v>
      </c>
      <c r="B8" s="12" t="s">
        <v>132</v>
      </c>
      <c r="C8" s="12" t="s">
        <v>15</v>
      </c>
      <c r="D8" s="55" t="s">
        <v>105</v>
      </c>
      <c r="E8" s="55" t="s">
        <v>140</v>
      </c>
      <c r="F8" s="13" t="s">
        <v>16</v>
      </c>
      <c r="G8" s="29" t="s">
        <v>17</v>
      </c>
      <c r="H8" s="59" t="s">
        <v>62</v>
      </c>
      <c r="I8" s="55" t="s">
        <v>63</v>
      </c>
      <c r="J8" s="59" t="s">
        <v>64</v>
      </c>
      <c r="K8" s="55" t="s">
        <v>118</v>
      </c>
      <c r="L8" s="59" t="s">
        <v>119</v>
      </c>
      <c r="M8" s="55" t="s">
        <v>129</v>
      </c>
      <c r="N8" s="55" t="s">
        <v>120</v>
      </c>
      <c r="O8" s="55" t="s">
        <v>121</v>
      </c>
      <c r="P8" s="55" t="s">
        <v>122</v>
      </c>
      <c r="Q8" s="55" t="s">
        <v>123</v>
      </c>
      <c r="R8" s="55" t="s">
        <v>124</v>
      </c>
      <c r="S8" s="55" t="s">
        <v>125</v>
      </c>
      <c r="T8" s="59" t="s">
        <v>126</v>
      </c>
      <c r="U8" s="59" t="s">
        <v>127</v>
      </c>
      <c r="V8" s="59" t="s">
        <v>128</v>
      </c>
      <c r="W8" s="59" t="s">
        <v>163</v>
      </c>
      <c r="X8" s="59" t="s">
        <v>164</v>
      </c>
      <c r="Y8" s="59" t="s">
        <v>130</v>
      </c>
      <c r="Z8" s="59" t="s">
        <v>232</v>
      </c>
      <c r="AA8" s="59" t="s">
        <v>233</v>
      </c>
      <c r="AB8" s="59" t="s">
        <v>234</v>
      </c>
      <c r="AC8" s="59" t="s">
        <v>235</v>
      </c>
      <c r="AD8" s="59" t="s">
        <v>236</v>
      </c>
      <c r="AE8" s="59" t="s">
        <v>237</v>
      </c>
      <c r="AF8" s="59" t="s">
        <v>126</v>
      </c>
      <c r="AG8" s="59" t="s">
        <v>127</v>
      </c>
      <c r="AH8" s="59" t="s">
        <v>128</v>
      </c>
      <c r="AI8" s="12" t="s">
        <v>157</v>
      </c>
      <c r="AJ8" s="12" t="s">
        <v>158</v>
      </c>
    </row>
    <row r="9" spans="1:36" ht="15" thickBot="1" x14ac:dyDescent="0.35">
      <c r="A9" s="105"/>
      <c r="B9" s="106"/>
      <c r="C9" s="148"/>
      <c r="D9" s="149">
        <v>0</v>
      </c>
      <c r="E9" s="149">
        <f>C9+D9</f>
        <v>0</v>
      </c>
      <c r="F9" s="148">
        <f>SUM(H9:AL9)</f>
        <v>0</v>
      </c>
      <c r="G9" s="150">
        <f>C9-F9</f>
        <v>0</v>
      </c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68"/>
      <c r="AJ9" s="68"/>
    </row>
    <row r="10" spans="1:36" ht="15" thickBot="1" x14ac:dyDescent="0.35">
      <c r="A10" s="70"/>
      <c r="B10" s="76"/>
      <c r="C10" s="152"/>
      <c r="D10" s="152"/>
      <c r="E10" s="152"/>
      <c r="F10" s="152"/>
      <c r="G10" s="152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68"/>
      <c r="AJ10" s="68"/>
    </row>
    <row r="11" spans="1:36" ht="15" thickBot="1" x14ac:dyDescent="0.35">
      <c r="A11" s="72" t="s">
        <v>46</v>
      </c>
      <c r="B11" s="42"/>
      <c r="C11" s="153">
        <f t="shared" ref="C11:AJ11" si="0">SUM(C9:C10)</f>
        <v>0</v>
      </c>
      <c r="D11" s="153">
        <v>0</v>
      </c>
      <c r="E11" s="153">
        <f>C11+D11</f>
        <v>0</v>
      </c>
      <c r="F11" s="153">
        <f t="shared" si="0"/>
        <v>0</v>
      </c>
      <c r="G11" s="153">
        <f t="shared" si="0"/>
        <v>0</v>
      </c>
      <c r="H11" s="153">
        <f t="shared" si="0"/>
        <v>0</v>
      </c>
      <c r="I11" s="153">
        <f t="shared" si="0"/>
        <v>0</v>
      </c>
      <c r="J11" s="153">
        <f t="shared" si="0"/>
        <v>0</v>
      </c>
      <c r="K11" s="153">
        <f t="shared" si="0"/>
        <v>0</v>
      </c>
      <c r="L11" s="153">
        <f t="shared" si="0"/>
        <v>0</v>
      </c>
      <c r="M11" s="153">
        <f t="shared" si="0"/>
        <v>0</v>
      </c>
      <c r="N11" s="153">
        <f t="shared" si="0"/>
        <v>0</v>
      </c>
      <c r="O11" s="153">
        <f t="shared" si="0"/>
        <v>0</v>
      </c>
      <c r="P11" s="153">
        <f t="shared" si="0"/>
        <v>0</v>
      </c>
      <c r="Q11" s="153">
        <f t="shared" si="0"/>
        <v>0</v>
      </c>
      <c r="R11" s="153">
        <f t="shared" si="0"/>
        <v>0</v>
      </c>
      <c r="S11" s="153">
        <f t="shared" si="0"/>
        <v>0</v>
      </c>
      <c r="T11" s="153">
        <f t="shared" si="0"/>
        <v>0</v>
      </c>
      <c r="U11" s="153">
        <f t="shared" si="0"/>
        <v>0</v>
      </c>
      <c r="V11" s="153">
        <f t="shared" si="0"/>
        <v>0</v>
      </c>
      <c r="W11" s="153">
        <f t="shared" si="0"/>
        <v>0</v>
      </c>
      <c r="X11" s="153">
        <f t="shared" si="0"/>
        <v>0</v>
      </c>
      <c r="Y11" s="153">
        <f t="shared" si="0"/>
        <v>0</v>
      </c>
      <c r="Z11" s="153">
        <f t="shared" si="0"/>
        <v>0</v>
      </c>
      <c r="AA11" s="153">
        <f t="shared" si="0"/>
        <v>0</v>
      </c>
      <c r="AB11" s="153">
        <f t="shared" si="0"/>
        <v>0</v>
      </c>
      <c r="AC11" s="153">
        <f t="shared" si="0"/>
        <v>0</v>
      </c>
      <c r="AD11" s="153">
        <f t="shared" si="0"/>
        <v>0</v>
      </c>
      <c r="AE11" s="153">
        <f t="shared" si="0"/>
        <v>0</v>
      </c>
      <c r="AF11" s="153">
        <f t="shared" si="0"/>
        <v>0</v>
      </c>
      <c r="AG11" s="153">
        <f t="shared" si="0"/>
        <v>0</v>
      </c>
      <c r="AH11" s="153">
        <f t="shared" si="0"/>
        <v>0</v>
      </c>
      <c r="AI11" s="153">
        <f t="shared" si="0"/>
        <v>0</v>
      </c>
      <c r="AJ11" s="153">
        <f t="shared" si="0"/>
        <v>0</v>
      </c>
    </row>
  </sheetData>
  <sheetProtection algorithmName="SHA-512" hashValue="T//sy19S02Bj1yn1aM/9o/MsjSjBj1HctsaSM5k2kK/m4cgelX5i9WQ47dI5rDWrQqyroR9Iczdy8Aw91Zn3XA==" saltValue="7inmFkTYxRMrfxM7ZJa4uA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>
    <tabColor theme="2"/>
  </sheetPr>
  <dimension ref="A1:AV22"/>
  <sheetViews>
    <sheetView workbookViewId="0">
      <selection activeCell="B27" sqref="B27"/>
    </sheetView>
  </sheetViews>
  <sheetFormatPr defaultColWidth="9.44140625" defaultRowHeight="14.4" x14ac:dyDescent="0.3"/>
  <cols>
    <col min="1" max="1" width="27.44140625" style="44" customWidth="1"/>
    <col min="2" max="2" width="42.5546875" style="44" customWidth="1"/>
    <col min="3" max="3" width="18.5546875" style="44" customWidth="1"/>
    <col min="4" max="4" width="14.5546875" style="44" customWidth="1"/>
    <col min="5" max="5" width="12.5546875" style="44" customWidth="1"/>
    <col min="6" max="6" width="14.5546875" style="44" hidden="1" customWidth="1"/>
    <col min="7" max="7" width="12.5546875" style="44" customWidth="1"/>
    <col min="8" max="8" width="12.5546875" style="44" hidden="1" customWidth="1"/>
    <col min="9" max="9" width="13.5546875" style="44" customWidth="1"/>
    <col min="10" max="10" width="14" style="44" customWidth="1"/>
    <col min="11" max="11" width="15.5546875" style="44" customWidth="1"/>
    <col min="12" max="12" width="17.44140625" style="44" customWidth="1"/>
    <col min="13" max="13" width="11.5546875" style="44" customWidth="1"/>
    <col min="14" max="14" width="13.5546875" style="44" customWidth="1"/>
    <col min="15" max="18" width="12.44140625" style="44" customWidth="1"/>
    <col min="19" max="19" width="9.44140625" style="44"/>
    <col min="20" max="20" width="13.44140625" style="44" customWidth="1"/>
    <col min="21" max="21" width="9.44140625" style="44"/>
    <col min="22" max="22" width="13.44140625" style="44" customWidth="1"/>
    <col min="23" max="23" width="9.44140625" style="44"/>
    <col min="24" max="24" width="14.5546875" style="44" customWidth="1"/>
    <col min="25" max="25" width="9.44140625" style="44"/>
    <col min="26" max="26" width="10.5546875" style="44" customWidth="1"/>
    <col min="27" max="32" width="9.44140625" style="44"/>
    <col min="33" max="33" width="10.5546875" style="44" bestFit="1" customWidth="1"/>
    <col min="34" max="16384" width="9.44140625" style="44"/>
  </cols>
  <sheetData>
    <row r="1" spans="1:48" ht="21" x14ac:dyDescent="0.4">
      <c r="A1" s="47" t="s">
        <v>0</v>
      </c>
      <c r="B1" s="53"/>
      <c r="C1" s="48" t="s">
        <v>87</v>
      </c>
      <c r="D1" s="48"/>
      <c r="E1" s="47"/>
      <c r="F1" s="47"/>
      <c r="G1" s="47"/>
      <c r="H1" s="47"/>
      <c r="I1" s="47" t="str">
        <f>$C$1</f>
        <v>IEL CIVICS</v>
      </c>
      <c r="J1" s="47"/>
      <c r="K1" s="47"/>
      <c r="L1" s="47"/>
      <c r="M1" s="47"/>
      <c r="N1" s="47"/>
      <c r="O1" s="49"/>
      <c r="P1" s="49"/>
      <c r="Q1" s="49"/>
      <c r="R1" s="49"/>
      <c r="S1" s="49"/>
      <c r="T1" s="49"/>
      <c r="U1" s="49"/>
      <c r="V1" s="49"/>
      <c r="W1" s="54"/>
      <c r="X1" s="54"/>
      <c r="Y1" s="54"/>
      <c r="Z1" s="54"/>
      <c r="AA1" s="54"/>
      <c r="AB1" s="54"/>
      <c r="AC1" s="54"/>
      <c r="AD1" s="54"/>
      <c r="AE1" s="48"/>
      <c r="AF1" s="47" t="str">
        <f>$C$1</f>
        <v>IEL CIVICS</v>
      </c>
      <c r="AG1" s="47"/>
      <c r="AH1" s="47"/>
      <c r="AI1" s="48"/>
      <c r="AJ1" s="48"/>
      <c r="AK1" s="47"/>
      <c r="AL1" s="47"/>
      <c r="AM1" s="47" t="str">
        <f>$C$1</f>
        <v>IEL CIVICS</v>
      </c>
      <c r="AN1" s="49"/>
      <c r="AO1" s="54"/>
      <c r="AP1" s="54"/>
      <c r="AQ1" s="54"/>
      <c r="AR1" s="48"/>
      <c r="AS1" s="47"/>
      <c r="AT1" s="47" t="str">
        <f>$C$1</f>
        <v>IEL CIVICS</v>
      </c>
      <c r="AU1" s="47"/>
      <c r="AV1" s="47"/>
    </row>
    <row r="2" spans="1:48" ht="19.5" customHeight="1" x14ac:dyDescent="0.4">
      <c r="A2" s="56" t="s">
        <v>147</v>
      </c>
      <c r="B2" s="56"/>
      <c r="C2" s="56" t="s">
        <v>439</v>
      </c>
      <c r="D2" s="47"/>
      <c r="E2" s="15"/>
      <c r="F2" s="15"/>
      <c r="G2" s="15"/>
      <c r="H2" s="15"/>
      <c r="I2" s="51" t="str">
        <f>"FY"&amp;$C$4</f>
        <v>FY2019-20</v>
      </c>
      <c r="J2" s="51"/>
      <c r="K2" s="51"/>
      <c r="L2" s="51"/>
      <c r="M2" s="51"/>
      <c r="N2" s="51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31" t="str">
        <f>"FY"&amp;$C$4</f>
        <v>FY2019-20</v>
      </c>
      <c r="AG2" s="15"/>
      <c r="AH2" s="15"/>
      <c r="AI2" s="15"/>
      <c r="AJ2" s="15"/>
      <c r="AK2" s="15"/>
      <c r="AL2" s="15"/>
      <c r="AM2" s="131" t="str">
        <f>"FY"&amp;$C$4</f>
        <v>FY2019-20</v>
      </c>
      <c r="AN2" s="15"/>
      <c r="AO2" s="15"/>
      <c r="AP2" s="15"/>
      <c r="AQ2" s="15"/>
      <c r="AR2" s="15"/>
      <c r="AS2" s="15"/>
      <c r="AT2" s="131" t="str">
        <f>"FY"&amp;$C$4</f>
        <v>FY2019-20</v>
      </c>
      <c r="AU2" s="47"/>
      <c r="AV2" s="47"/>
    </row>
    <row r="3" spans="1:48" ht="15.6" x14ac:dyDescent="0.3">
      <c r="A3" s="50" t="s">
        <v>1</v>
      </c>
      <c r="B3" s="53"/>
      <c r="C3" s="51">
        <v>6002</v>
      </c>
      <c r="D3" s="51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</row>
    <row r="4" spans="1:48" ht="15.6" x14ac:dyDescent="0.3">
      <c r="A4" s="50" t="s">
        <v>2</v>
      </c>
      <c r="B4" s="53"/>
      <c r="C4" s="51" t="s">
        <v>398</v>
      </c>
      <c r="D4" s="51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</row>
    <row r="5" spans="1:48" ht="15.6" x14ac:dyDescent="0.3">
      <c r="A5" s="50" t="s">
        <v>18</v>
      </c>
      <c r="B5" s="50"/>
      <c r="C5" s="63" t="s">
        <v>402</v>
      </c>
      <c r="D5" s="50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</row>
    <row r="6" spans="1:48" ht="15.6" x14ac:dyDescent="0.3">
      <c r="A6" s="50" t="s">
        <v>19</v>
      </c>
      <c r="B6" s="50"/>
      <c r="C6" s="67" t="s">
        <v>403</v>
      </c>
      <c r="D6" s="50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</row>
    <row r="7" spans="1:48" ht="21.6" thickBot="1" x14ac:dyDescent="0.45">
      <c r="A7" s="47"/>
      <c r="B7" s="50"/>
      <c r="C7" s="53"/>
      <c r="D7" s="53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</row>
    <row r="8" spans="1:48" ht="58.2" thickBot="1" x14ac:dyDescent="0.35">
      <c r="A8" s="267" t="s">
        <v>138</v>
      </c>
      <c r="B8" s="266" t="s">
        <v>132</v>
      </c>
      <c r="C8" s="266" t="s">
        <v>430</v>
      </c>
      <c r="D8" s="264" t="s">
        <v>449</v>
      </c>
      <c r="E8" s="27" t="s">
        <v>431</v>
      </c>
      <c r="F8" s="27" t="s">
        <v>451</v>
      </c>
      <c r="G8" s="27" t="s">
        <v>450</v>
      </c>
      <c r="H8" s="27" t="s">
        <v>452</v>
      </c>
      <c r="I8" s="301" t="s">
        <v>440</v>
      </c>
      <c r="J8" s="301" t="s">
        <v>451</v>
      </c>
      <c r="K8" s="281" t="s">
        <v>461</v>
      </c>
      <c r="L8" s="281" t="s">
        <v>452</v>
      </c>
      <c r="M8" s="301" t="s">
        <v>441</v>
      </c>
      <c r="N8" s="301" t="s">
        <v>433</v>
      </c>
      <c r="O8" s="27" t="s">
        <v>442</v>
      </c>
      <c r="P8" s="27" t="s">
        <v>434</v>
      </c>
      <c r="Q8" s="27" t="s">
        <v>443</v>
      </c>
      <c r="R8" s="27" t="s">
        <v>435</v>
      </c>
      <c r="S8" s="27" t="s">
        <v>444</v>
      </c>
      <c r="T8" s="27" t="s">
        <v>436</v>
      </c>
      <c r="U8" s="27" t="s">
        <v>445</v>
      </c>
      <c r="V8" s="27" t="s">
        <v>437</v>
      </c>
      <c r="W8" s="26" t="s">
        <v>446</v>
      </c>
      <c r="X8" s="27" t="s">
        <v>438</v>
      </c>
      <c r="Y8" s="27" t="s">
        <v>447</v>
      </c>
      <c r="Z8" s="27" t="s">
        <v>432</v>
      </c>
      <c r="AA8" s="27" t="s">
        <v>448</v>
      </c>
      <c r="AB8" s="27"/>
      <c r="AC8" s="27"/>
      <c r="AD8" s="27"/>
      <c r="AE8" s="27" t="s">
        <v>399</v>
      </c>
      <c r="AF8" s="26" t="s">
        <v>238</v>
      </c>
      <c r="AG8" s="27" t="s">
        <v>239</v>
      </c>
      <c r="AH8" s="27" t="s">
        <v>240</v>
      </c>
      <c r="AI8" s="27" t="s">
        <v>400</v>
      </c>
      <c r="AJ8" s="26" t="s">
        <v>401</v>
      </c>
      <c r="AK8" s="27" t="s">
        <v>130</v>
      </c>
      <c r="AL8" s="12" t="s">
        <v>157</v>
      </c>
      <c r="AM8" s="27" t="s">
        <v>233</v>
      </c>
      <c r="AN8" s="27" t="s">
        <v>234</v>
      </c>
      <c r="AO8" s="27" t="s">
        <v>235</v>
      </c>
      <c r="AP8" s="27" t="s">
        <v>236</v>
      </c>
      <c r="AQ8" s="27" t="s">
        <v>237</v>
      </c>
      <c r="AR8" s="26" t="s">
        <v>238</v>
      </c>
      <c r="AS8" s="27" t="s">
        <v>239</v>
      </c>
      <c r="AT8" s="27" t="s">
        <v>240</v>
      </c>
      <c r="AU8" s="12" t="s">
        <v>157</v>
      </c>
      <c r="AV8" s="12" t="s">
        <v>158</v>
      </c>
    </row>
    <row r="9" spans="1:48" ht="15" thickBot="1" x14ac:dyDescent="0.35">
      <c r="A9" s="103" t="s">
        <v>73</v>
      </c>
      <c r="B9" s="268" t="s">
        <v>244</v>
      </c>
      <c r="C9" s="305">
        <v>54906</v>
      </c>
      <c r="D9" s="306">
        <v>10600</v>
      </c>
      <c r="E9" s="297"/>
      <c r="F9" s="298">
        <f>C9-E9</f>
        <v>54906</v>
      </c>
      <c r="G9" s="297"/>
      <c r="H9" s="297"/>
      <c r="I9" s="302">
        <v>27453</v>
      </c>
      <c r="J9" s="302">
        <f>C9-E9-I9</f>
        <v>27453</v>
      </c>
      <c r="K9" s="300">
        <v>3524</v>
      </c>
      <c r="L9" s="300">
        <f>D9-K9</f>
        <v>7076</v>
      </c>
      <c r="M9" s="302"/>
      <c r="N9" s="302"/>
      <c r="O9" s="299"/>
      <c r="P9" s="29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25"/>
      <c r="AB9" s="225"/>
      <c r="AC9" s="225"/>
      <c r="AD9" s="225"/>
      <c r="AE9" s="209"/>
      <c r="AF9" s="209"/>
      <c r="AG9" s="214"/>
      <c r="AH9" s="214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14"/>
      <c r="AT9" s="214"/>
      <c r="AU9" s="215"/>
      <c r="AV9" s="215"/>
    </row>
    <row r="10" spans="1:48" ht="15" thickBot="1" x14ac:dyDescent="0.35">
      <c r="A10" s="103" t="s">
        <v>134</v>
      </c>
      <c r="B10" s="284" t="s">
        <v>405</v>
      </c>
      <c r="C10" s="286">
        <v>40342</v>
      </c>
      <c r="D10" s="287"/>
      <c r="E10" s="295"/>
      <c r="F10" s="295">
        <f t="shared" ref="F10:F17" si="0">C10-E10</f>
        <v>40342</v>
      </c>
      <c r="G10" s="295"/>
      <c r="H10" s="295"/>
      <c r="I10" s="303"/>
      <c r="J10" s="303">
        <f>C10-I10</f>
        <v>40342</v>
      </c>
      <c r="K10" s="282"/>
      <c r="L10" s="300">
        <f t="shared" ref="L10:L17" si="1">D10-K10</f>
        <v>0</v>
      </c>
      <c r="M10" s="303"/>
      <c r="N10" s="303"/>
      <c r="O10" s="288"/>
      <c r="P10" s="288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10"/>
      <c r="AH10" s="210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10"/>
      <c r="AT10" s="210"/>
      <c r="AU10" s="215"/>
      <c r="AV10" s="215"/>
    </row>
    <row r="11" spans="1:48" ht="15" thickBot="1" x14ac:dyDescent="0.35">
      <c r="A11" s="103" t="s">
        <v>7</v>
      </c>
      <c r="B11" s="268" t="s">
        <v>8</v>
      </c>
      <c r="C11" s="286">
        <v>40000</v>
      </c>
      <c r="D11" s="287">
        <v>35249</v>
      </c>
      <c r="E11" s="295"/>
      <c r="F11" s="295">
        <f t="shared" si="0"/>
        <v>40000</v>
      </c>
      <c r="G11" s="295"/>
      <c r="H11" s="295"/>
      <c r="I11" s="303">
        <v>23641.58</v>
      </c>
      <c r="J11" s="303">
        <f t="shared" ref="J11:J17" si="2">C11-I11</f>
        <v>16358.419999999998</v>
      </c>
      <c r="K11" s="282">
        <v>12137</v>
      </c>
      <c r="L11" s="300">
        <f t="shared" si="1"/>
        <v>23112</v>
      </c>
      <c r="M11" s="303"/>
      <c r="N11" s="303"/>
      <c r="O11" s="288"/>
      <c r="P11" s="288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14"/>
      <c r="AH11" s="214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14"/>
      <c r="AT11" s="214"/>
      <c r="AU11" s="215"/>
      <c r="AV11" s="215"/>
    </row>
    <row r="12" spans="1:48" ht="15" thickBot="1" x14ac:dyDescent="0.35">
      <c r="A12" s="103" t="s">
        <v>9</v>
      </c>
      <c r="B12" s="268" t="s">
        <v>76</v>
      </c>
      <c r="C12" s="286">
        <v>44752</v>
      </c>
      <c r="D12" s="287">
        <v>4400</v>
      </c>
      <c r="E12" s="295">
        <f>3729+3729+3729+406.03</f>
        <v>11593.03</v>
      </c>
      <c r="F12" s="295">
        <f t="shared" si="0"/>
        <v>33158.97</v>
      </c>
      <c r="G12" s="295"/>
      <c r="H12" s="295"/>
      <c r="I12" s="303">
        <v>22374</v>
      </c>
      <c r="J12" s="303">
        <f t="shared" si="2"/>
        <v>22378</v>
      </c>
      <c r="K12" s="282">
        <v>984</v>
      </c>
      <c r="L12" s="300">
        <f t="shared" si="1"/>
        <v>3416</v>
      </c>
      <c r="M12" s="303"/>
      <c r="N12" s="303"/>
      <c r="O12" s="288"/>
      <c r="P12" s="288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14"/>
      <c r="AH12" s="214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14"/>
      <c r="AT12" s="214"/>
      <c r="AU12" s="215"/>
      <c r="AV12" s="215"/>
    </row>
    <row r="13" spans="1:48" ht="15" thickBot="1" x14ac:dyDescent="0.35">
      <c r="A13" s="103" t="s">
        <v>11</v>
      </c>
      <c r="B13" s="268" t="s">
        <v>12</v>
      </c>
      <c r="C13" s="286">
        <v>40000</v>
      </c>
      <c r="D13" s="287">
        <v>0</v>
      </c>
      <c r="E13" s="295">
        <v>13870.3</v>
      </c>
      <c r="F13" s="295">
        <f t="shared" si="0"/>
        <v>26129.7</v>
      </c>
      <c r="G13" s="295"/>
      <c r="H13" s="295"/>
      <c r="I13" s="303"/>
      <c r="J13" s="303">
        <f t="shared" si="2"/>
        <v>40000</v>
      </c>
      <c r="K13" s="282"/>
      <c r="L13" s="300">
        <f t="shared" si="1"/>
        <v>0</v>
      </c>
      <c r="M13" s="303"/>
      <c r="N13" s="303"/>
      <c r="O13" s="288"/>
      <c r="P13" s="288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14"/>
      <c r="AH13" s="214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14"/>
      <c r="AT13" s="214"/>
      <c r="AU13" s="214"/>
      <c r="AV13" s="214"/>
    </row>
    <row r="14" spans="1:48" ht="15" thickBot="1" x14ac:dyDescent="0.35">
      <c r="A14" s="103" t="s">
        <v>70</v>
      </c>
      <c r="B14" s="268" t="s">
        <v>241</v>
      </c>
      <c r="C14" s="286">
        <v>40000</v>
      </c>
      <c r="D14" s="287">
        <v>840</v>
      </c>
      <c r="E14" s="295">
        <v>18622.77</v>
      </c>
      <c r="F14" s="295">
        <f t="shared" si="0"/>
        <v>21377.23</v>
      </c>
      <c r="G14" s="295">
        <v>840</v>
      </c>
      <c r="H14" s="295"/>
      <c r="I14" s="303">
        <v>18622.77</v>
      </c>
      <c r="J14" s="303">
        <f t="shared" si="2"/>
        <v>21377.23</v>
      </c>
      <c r="K14" s="282">
        <v>840</v>
      </c>
      <c r="L14" s="300">
        <f t="shared" si="1"/>
        <v>0</v>
      </c>
      <c r="M14" s="303">
        <v>24763.88</v>
      </c>
      <c r="N14" s="303">
        <v>840</v>
      </c>
      <c r="O14" s="288"/>
      <c r="P14" s="288"/>
      <c r="Q14" s="209"/>
      <c r="R14" s="209"/>
      <c r="S14" s="215"/>
      <c r="T14" s="215"/>
      <c r="U14" s="215"/>
      <c r="V14" s="215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14"/>
      <c r="AH14" s="214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14"/>
      <c r="AT14" s="214"/>
      <c r="AU14" s="214"/>
      <c r="AV14" s="214"/>
    </row>
    <row r="15" spans="1:48" ht="15" thickBot="1" x14ac:dyDescent="0.35">
      <c r="A15" s="103" t="s">
        <v>13</v>
      </c>
      <c r="B15" s="268" t="s">
        <v>243</v>
      </c>
      <c r="C15" s="286">
        <v>40000</v>
      </c>
      <c r="D15" s="287">
        <v>0</v>
      </c>
      <c r="E15" s="295">
        <v>40000</v>
      </c>
      <c r="F15" s="295">
        <f t="shared" si="0"/>
        <v>0</v>
      </c>
      <c r="G15" s="295"/>
      <c r="H15" s="295"/>
      <c r="I15" s="303">
        <v>40000</v>
      </c>
      <c r="J15" s="303">
        <f t="shared" si="2"/>
        <v>0</v>
      </c>
      <c r="K15" s="282">
        <v>0</v>
      </c>
      <c r="L15" s="300">
        <f t="shared" si="1"/>
        <v>0</v>
      </c>
      <c r="M15" s="303">
        <v>40000</v>
      </c>
      <c r="N15" s="303">
        <v>0</v>
      </c>
      <c r="O15" s="288"/>
      <c r="P15" s="288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14"/>
      <c r="AH15" s="214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14"/>
      <c r="AT15" s="214"/>
      <c r="AU15" s="215"/>
      <c r="AV15" s="215"/>
    </row>
    <row r="16" spans="1:48" ht="15" thickBot="1" x14ac:dyDescent="0.35">
      <c r="A16" s="103" t="s">
        <v>72</v>
      </c>
      <c r="B16" s="268" t="s">
        <v>170</v>
      </c>
      <c r="C16" s="286">
        <v>40000</v>
      </c>
      <c r="D16" s="287">
        <v>0</v>
      </c>
      <c r="E16" s="295"/>
      <c r="F16" s="295">
        <f t="shared" si="0"/>
        <v>40000</v>
      </c>
      <c r="G16" s="295"/>
      <c r="H16" s="295"/>
      <c r="I16" s="303"/>
      <c r="J16" s="303">
        <f t="shared" si="2"/>
        <v>40000</v>
      </c>
      <c r="K16" s="282"/>
      <c r="L16" s="300">
        <f t="shared" si="1"/>
        <v>0</v>
      </c>
      <c r="M16" s="303"/>
      <c r="N16" s="303"/>
      <c r="O16" s="288"/>
      <c r="P16" s="288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14"/>
      <c r="AH16" s="214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14"/>
      <c r="AT16" s="214"/>
      <c r="AU16" s="215"/>
      <c r="AV16" s="215"/>
    </row>
    <row r="17" spans="1:48" ht="15" thickBot="1" x14ac:dyDescent="0.35">
      <c r="A17" s="53"/>
      <c r="B17" s="53"/>
      <c r="C17" s="289"/>
      <c r="D17" s="290"/>
      <c r="E17" s="295"/>
      <c r="F17" s="295">
        <f t="shared" si="0"/>
        <v>0</v>
      </c>
      <c r="G17" s="295"/>
      <c r="H17" s="295"/>
      <c r="I17" s="304"/>
      <c r="J17" s="303">
        <f t="shared" si="2"/>
        <v>0</v>
      </c>
      <c r="K17" s="283"/>
      <c r="L17" s="300">
        <f t="shared" si="1"/>
        <v>0</v>
      </c>
      <c r="M17" s="304"/>
      <c r="N17" s="304"/>
      <c r="O17" s="291"/>
      <c r="P17" s="291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</row>
    <row r="18" spans="1:48" ht="15" thickBot="1" x14ac:dyDescent="0.35">
      <c r="A18" s="77" t="s">
        <v>46</v>
      </c>
      <c r="B18" s="285"/>
      <c r="C18" s="292">
        <f>SUM(C9:C16)</f>
        <v>340000</v>
      </c>
      <c r="D18" s="293">
        <f t="shared" ref="D18:AQ18" si="3">SUM(D9:D16)</f>
        <v>51089</v>
      </c>
      <c r="E18" s="296">
        <f t="shared" si="3"/>
        <v>84086.1</v>
      </c>
      <c r="F18" s="296"/>
      <c r="G18" s="296"/>
      <c r="H18" s="296"/>
      <c r="I18" s="294">
        <f t="shared" si="3"/>
        <v>132091.35</v>
      </c>
      <c r="J18" s="294">
        <f t="shared" si="3"/>
        <v>207908.65</v>
      </c>
      <c r="K18" s="294">
        <f t="shared" si="3"/>
        <v>17485</v>
      </c>
      <c r="L18" s="294">
        <f t="shared" si="3"/>
        <v>33604</v>
      </c>
      <c r="M18" s="294">
        <f t="shared" si="3"/>
        <v>64763.880000000005</v>
      </c>
      <c r="N18" s="294">
        <f t="shared" si="3"/>
        <v>840</v>
      </c>
      <c r="O18" s="294">
        <f t="shared" si="3"/>
        <v>0</v>
      </c>
      <c r="P18" s="294">
        <f t="shared" si="3"/>
        <v>0</v>
      </c>
      <c r="Q18" s="294">
        <f t="shared" si="3"/>
        <v>0</v>
      </c>
      <c r="R18" s="294">
        <f t="shared" si="3"/>
        <v>0</v>
      </c>
      <c r="S18" s="227">
        <f t="shared" si="3"/>
        <v>0</v>
      </c>
      <c r="T18" s="227"/>
      <c r="U18" s="227"/>
      <c r="V18" s="227"/>
      <c r="W18" s="227">
        <f t="shared" si="3"/>
        <v>0</v>
      </c>
      <c r="X18" s="227"/>
      <c r="Y18" s="227"/>
      <c r="Z18" s="227"/>
      <c r="AA18" s="227">
        <f t="shared" si="3"/>
        <v>0</v>
      </c>
      <c r="AB18" s="227"/>
      <c r="AC18" s="227"/>
      <c r="AD18" s="227"/>
      <c r="AE18" s="227">
        <f t="shared" si="3"/>
        <v>0</v>
      </c>
      <c r="AF18" s="227">
        <f t="shared" si="3"/>
        <v>0</v>
      </c>
      <c r="AG18" s="227">
        <f t="shared" si="3"/>
        <v>0</v>
      </c>
      <c r="AH18" s="227">
        <f t="shared" si="3"/>
        <v>0</v>
      </c>
      <c r="AI18" s="227">
        <f t="shared" si="3"/>
        <v>0</v>
      </c>
      <c r="AJ18" s="227">
        <f t="shared" si="3"/>
        <v>0</v>
      </c>
      <c r="AK18" s="227">
        <f t="shared" si="3"/>
        <v>0</v>
      </c>
      <c r="AL18" s="227">
        <f t="shared" si="3"/>
        <v>0</v>
      </c>
      <c r="AM18" s="227">
        <f t="shared" si="3"/>
        <v>0</v>
      </c>
      <c r="AN18" s="227">
        <f t="shared" si="3"/>
        <v>0</v>
      </c>
      <c r="AO18" s="227">
        <f t="shared" si="3"/>
        <v>0</v>
      </c>
      <c r="AP18" s="227">
        <f t="shared" si="3"/>
        <v>0</v>
      </c>
      <c r="AQ18" s="227">
        <f t="shared" si="3"/>
        <v>0</v>
      </c>
      <c r="AR18" s="227">
        <f t="shared" ref="AR18:AV18" si="4">SUM(AR9:AR15)</f>
        <v>0</v>
      </c>
      <c r="AS18" s="227">
        <f t="shared" si="4"/>
        <v>0</v>
      </c>
      <c r="AT18" s="227">
        <f t="shared" si="4"/>
        <v>0</v>
      </c>
      <c r="AU18" s="227">
        <f t="shared" si="4"/>
        <v>0</v>
      </c>
      <c r="AV18" s="227">
        <f t="shared" si="4"/>
        <v>0</v>
      </c>
    </row>
    <row r="19" spans="1:48" x14ac:dyDescent="0.3"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</row>
    <row r="20" spans="1:48" x14ac:dyDescent="0.3"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</row>
    <row r="21" spans="1:48" x14ac:dyDescent="0.3"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</row>
    <row r="22" spans="1:48" x14ac:dyDescent="0.3"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</row>
  </sheetData>
  <dataValidations count="1">
    <dataValidation type="list" allowBlank="1" showInputMessage="1" showErrorMessage="1" sqref="A9:A16" xr:uid="{00000000-0002-0000-0D00-000000000000}">
      <formula1>INDIRECT($A9)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2">
    <tabColor theme="2"/>
  </sheetPr>
  <dimension ref="A1:Y65"/>
  <sheetViews>
    <sheetView zoomScale="78" zoomScaleNormal="78" workbookViewId="0">
      <pane xSplit="7" ySplit="8" topLeftCell="O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S12" sqref="S12"/>
    </sheetView>
  </sheetViews>
  <sheetFormatPr defaultColWidth="9.44140625" defaultRowHeight="14.4" x14ac:dyDescent="0.3"/>
  <cols>
    <col min="1" max="1" width="9.44140625" style="45"/>
    <col min="2" max="2" width="45.44140625" style="45" customWidth="1"/>
    <col min="3" max="5" width="13.5546875" style="45" customWidth="1"/>
    <col min="6" max="6" width="11.44140625" style="45" customWidth="1"/>
    <col min="7" max="7" width="16" style="45" customWidth="1"/>
    <col min="8" max="23" width="15.5546875" style="45" customWidth="1"/>
    <col min="24" max="24" width="21.44140625" style="44" customWidth="1"/>
    <col min="25" max="16384" width="9.44140625" style="45"/>
  </cols>
  <sheetData>
    <row r="1" spans="1:25" ht="21" x14ac:dyDescent="0.4">
      <c r="A1" s="47" t="s">
        <v>0</v>
      </c>
      <c r="B1" s="53"/>
      <c r="C1" s="48" t="s">
        <v>25</v>
      </c>
      <c r="D1" s="48"/>
      <c r="E1" s="48"/>
      <c r="F1" s="47"/>
      <c r="G1" s="49"/>
      <c r="H1" s="54"/>
      <c r="I1" s="53"/>
      <c r="J1" s="48" t="str">
        <f>C1</f>
        <v>McKinney-Vento Homeless</v>
      </c>
      <c r="K1" s="53"/>
      <c r="L1" s="48"/>
      <c r="M1" s="53"/>
      <c r="N1" s="48" t="str">
        <f>$C$1</f>
        <v>McKinney-Vento Homeless</v>
      </c>
      <c r="O1" s="53"/>
      <c r="P1" s="48"/>
      <c r="Q1" s="53"/>
      <c r="R1" s="53"/>
      <c r="S1" s="53"/>
      <c r="T1" s="48" t="str">
        <f>$C$1</f>
        <v>McKinney-Vento Homeless</v>
      </c>
      <c r="U1" s="53"/>
      <c r="V1" s="48"/>
      <c r="W1" s="53"/>
      <c r="X1" s="47"/>
    </row>
    <row r="2" spans="1:25" ht="21" x14ac:dyDescent="0.4">
      <c r="A2" s="47" t="s">
        <v>147</v>
      </c>
      <c r="B2" s="49"/>
      <c r="C2" s="48" t="s">
        <v>148</v>
      </c>
      <c r="D2" s="48"/>
      <c r="E2" s="48"/>
      <c r="F2" s="49"/>
      <c r="G2" s="49"/>
      <c r="H2" s="54"/>
      <c r="I2" s="53"/>
      <c r="J2" s="51" t="str">
        <f>"FY"&amp;C4</f>
        <v>FY2020-21</v>
      </c>
      <c r="K2" s="53"/>
      <c r="L2" s="56"/>
      <c r="M2" s="53"/>
      <c r="N2" s="51" t="str">
        <f>"FY"&amp;$C$4</f>
        <v>FY2020-21</v>
      </c>
      <c r="O2" s="53"/>
      <c r="P2" s="51"/>
      <c r="Q2" s="53"/>
      <c r="R2" s="53"/>
      <c r="S2" s="53"/>
      <c r="T2" s="51" t="str">
        <f>"FY"&amp;$C$4</f>
        <v>FY2020-21</v>
      </c>
      <c r="U2" s="53"/>
      <c r="V2" s="51"/>
      <c r="W2" s="53"/>
      <c r="X2" s="47"/>
    </row>
    <row r="3" spans="1:25" ht="15.6" x14ac:dyDescent="0.3">
      <c r="A3" s="50" t="s">
        <v>1</v>
      </c>
      <c r="B3" s="53"/>
      <c r="C3" s="51">
        <v>5196</v>
      </c>
      <c r="D3" s="51"/>
      <c r="E3" s="51"/>
      <c r="F3" s="50"/>
      <c r="G3" s="19"/>
      <c r="H3" s="54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</row>
    <row r="4" spans="1:25" ht="15.6" x14ac:dyDescent="0.3">
      <c r="A4" s="50" t="s">
        <v>2</v>
      </c>
      <c r="B4" s="53"/>
      <c r="C4" s="51" t="s">
        <v>495</v>
      </c>
      <c r="D4" s="51"/>
      <c r="E4" s="51"/>
      <c r="F4" s="19"/>
      <c r="G4" s="19"/>
      <c r="H4" s="5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</row>
    <row r="5" spans="1:25" ht="15.6" x14ac:dyDescent="0.3">
      <c r="A5" s="50" t="s">
        <v>467</v>
      </c>
      <c r="B5" s="53"/>
      <c r="C5" s="67" t="s">
        <v>532</v>
      </c>
      <c r="D5" s="50"/>
      <c r="E5" s="50"/>
      <c r="F5" s="19"/>
      <c r="G5" s="19"/>
      <c r="H5" s="5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2"/>
    </row>
    <row r="6" spans="1:25" ht="15.6" x14ac:dyDescent="0.3">
      <c r="A6" s="50"/>
      <c r="B6" s="53"/>
      <c r="C6" s="67"/>
      <c r="D6" s="51"/>
      <c r="E6" s="51"/>
      <c r="F6" s="19"/>
      <c r="G6" s="19"/>
      <c r="H6" s="52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2"/>
    </row>
    <row r="7" spans="1:25" ht="15" thickBot="1" x14ac:dyDescent="0.35">
      <c r="A7" s="18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2"/>
    </row>
    <row r="8" spans="1:25" ht="29.4" thickBot="1" x14ac:dyDescent="0.35">
      <c r="A8" s="11" t="s">
        <v>138</v>
      </c>
      <c r="B8" s="12" t="s">
        <v>132</v>
      </c>
      <c r="C8" s="12" t="s">
        <v>15</v>
      </c>
      <c r="D8" s="55" t="s">
        <v>655</v>
      </c>
      <c r="E8" s="55" t="s">
        <v>140</v>
      </c>
      <c r="F8" s="12" t="s">
        <v>16</v>
      </c>
      <c r="G8" s="25" t="s">
        <v>17</v>
      </c>
      <c r="H8" s="26" t="s">
        <v>238</v>
      </c>
      <c r="I8" s="27" t="s">
        <v>239</v>
      </c>
      <c r="J8" s="26" t="s">
        <v>240</v>
      </c>
      <c r="K8" s="27" t="s">
        <v>400</v>
      </c>
      <c r="L8" s="26" t="s">
        <v>401</v>
      </c>
      <c r="M8" s="27" t="s">
        <v>466</v>
      </c>
      <c r="N8" s="27" t="s">
        <v>496</v>
      </c>
      <c r="O8" s="27" t="s">
        <v>497</v>
      </c>
      <c r="P8" s="27" t="s">
        <v>498</v>
      </c>
      <c r="Q8" s="27" t="s">
        <v>499</v>
      </c>
      <c r="R8" s="27" t="s">
        <v>500</v>
      </c>
      <c r="S8" s="27" t="s">
        <v>501</v>
      </c>
      <c r="T8" s="26" t="s">
        <v>502</v>
      </c>
      <c r="U8" s="27" t="s">
        <v>503</v>
      </c>
      <c r="V8" s="27" t="s">
        <v>504</v>
      </c>
      <c r="W8" s="12" t="s">
        <v>157</v>
      </c>
      <c r="X8" s="12" t="s">
        <v>158</v>
      </c>
    </row>
    <row r="9" spans="1:25" ht="15" thickBot="1" x14ac:dyDescent="0.35">
      <c r="A9" s="137">
        <v>10</v>
      </c>
      <c r="B9" s="115" t="s">
        <v>406</v>
      </c>
      <c r="C9" s="233">
        <v>26435.08</v>
      </c>
      <c r="D9" s="228">
        <v>6133.31</v>
      </c>
      <c r="E9" s="228">
        <f>SUM(C9:D9)</f>
        <v>32568.390000000003</v>
      </c>
      <c r="F9" s="234">
        <f t="shared" ref="F9:F23" si="0">SUM(H9:W9)</f>
        <v>26435.08</v>
      </c>
      <c r="G9" s="234">
        <f>C9-F9</f>
        <v>0</v>
      </c>
      <c r="H9" s="214"/>
      <c r="I9" s="214"/>
      <c r="J9" s="214"/>
      <c r="K9" s="214"/>
      <c r="L9" s="214">
        <f>2221.95+117.6</f>
        <v>2339.5499999999997</v>
      </c>
      <c r="M9" s="214">
        <v>510.41</v>
      </c>
      <c r="N9" s="214">
        <v>2688.08</v>
      </c>
      <c r="O9" s="346">
        <v>413.24</v>
      </c>
      <c r="P9" s="214">
        <v>5512.7</v>
      </c>
      <c r="Q9" s="214">
        <v>8912.2800000000007</v>
      </c>
      <c r="R9" s="214">
        <v>6058.82</v>
      </c>
      <c r="S9" s="44"/>
      <c r="T9" s="214"/>
      <c r="U9" s="214"/>
      <c r="V9" s="214"/>
      <c r="W9" s="214"/>
      <c r="X9" s="215"/>
      <c r="Y9" s="6"/>
    </row>
    <row r="10" spans="1:25" ht="15" thickBot="1" x14ac:dyDescent="0.35">
      <c r="A10" s="137">
        <v>20</v>
      </c>
      <c r="B10" s="114" t="s">
        <v>407</v>
      </c>
      <c r="C10" s="230">
        <v>63444.18</v>
      </c>
      <c r="D10" s="228">
        <v>10835</v>
      </c>
      <c r="E10" s="228">
        <f t="shared" ref="E10:E21" si="1">SUM(C10:D10)</f>
        <v>74279.179999999993</v>
      </c>
      <c r="F10" s="234">
        <f t="shared" si="0"/>
        <v>63444.179999999993</v>
      </c>
      <c r="G10" s="234">
        <f t="shared" ref="G10:G20" si="2">C10-F10</f>
        <v>0</v>
      </c>
      <c r="H10" s="214"/>
      <c r="I10" s="214"/>
      <c r="J10" s="214">
        <v>7579.6</v>
      </c>
      <c r="K10" s="214"/>
      <c r="L10" s="214">
        <f>6649.18+7323.43</f>
        <v>13972.61</v>
      </c>
      <c r="M10" s="214">
        <v>6342.85</v>
      </c>
      <c r="N10" s="214">
        <v>8408.4599999999991</v>
      </c>
      <c r="O10" s="214">
        <v>6675.94</v>
      </c>
      <c r="P10" s="214">
        <v>4453.6000000000004</v>
      </c>
      <c r="Q10" s="214">
        <v>5988.55</v>
      </c>
      <c r="R10" s="214">
        <v>6590.48</v>
      </c>
      <c r="S10" s="44">
        <v>3432.09</v>
      </c>
      <c r="T10" s="214"/>
      <c r="U10" s="214"/>
      <c r="V10" s="214"/>
      <c r="W10" s="214"/>
      <c r="X10" s="215"/>
      <c r="Y10" s="6"/>
    </row>
    <row r="11" spans="1:25" ht="15" thickBot="1" x14ac:dyDescent="0.35">
      <c r="A11" s="137">
        <v>70</v>
      </c>
      <c r="B11" s="114" t="s">
        <v>408</v>
      </c>
      <c r="C11" s="230">
        <v>52817.279999999999</v>
      </c>
      <c r="D11" s="228"/>
      <c r="E11" s="228">
        <f t="shared" si="1"/>
        <v>52817.279999999999</v>
      </c>
      <c r="F11" s="234">
        <f t="shared" si="0"/>
        <v>45586.63</v>
      </c>
      <c r="G11" s="234">
        <f t="shared" si="2"/>
        <v>7230.6500000000015</v>
      </c>
      <c r="H11" s="214"/>
      <c r="I11" s="214"/>
      <c r="J11" s="214"/>
      <c r="K11" s="214"/>
      <c r="L11" s="214">
        <f>6122.27+4806.84</f>
        <v>10929.11</v>
      </c>
      <c r="M11" s="214">
        <v>6347.1</v>
      </c>
      <c r="N11" s="214">
        <v>3941.85</v>
      </c>
      <c r="O11" s="214"/>
      <c r="P11" s="214"/>
      <c r="Q11" s="214"/>
      <c r="R11" s="214">
        <v>17905.169999999998</v>
      </c>
      <c r="S11" s="214">
        <v>6463.4</v>
      </c>
      <c r="T11" s="214"/>
      <c r="U11" s="214"/>
      <c r="V11" s="214"/>
      <c r="W11" s="214"/>
      <c r="X11" s="215"/>
      <c r="Y11" s="6"/>
    </row>
    <row r="12" spans="1:25" ht="15" thickBot="1" x14ac:dyDescent="0.35">
      <c r="A12" s="137">
        <v>120</v>
      </c>
      <c r="B12" s="114" t="s">
        <v>409</v>
      </c>
      <c r="C12" s="230">
        <v>63444.18</v>
      </c>
      <c r="D12" s="228">
        <v>30984</v>
      </c>
      <c r="E12" s="228">
        <f t="shared" si="1"/>
        <v>94428.18</v>
      </c>
      <c r="F12" s="234">
        <f t="shared" si="0"/>
        <v>41727</v>
      </c>
      <c r="G12" s="234">
        <f t="shared" si="2"/>
        <v>21717.18</v>
      </c>
      <c r="H12" s="214"/>
      <c r="I12" s="214"/>
      <c r="J12" s="214">
        <v>4161</v>
      </c>
      <c r="K12" s="214"/>
      <c r="L12" s="214">
        <f>4162</f>
        <v>4162</v>
      </c>
      <c r="M12" s="214">
        <f>6694+4162</f>
        <v>10856</v>
      </c>
      <c r="N12" s="214">
        <v>4164</v>
      </c>
      <c r="O12" s="214">
        <v>4165</v>
      </c>
      <c r="P12" s="214">
        <v>5432</v>
      </c>
      <c r="Q12" s="214">
        <v>4425</v>
      </c>
      <c r="R12" s="214">
        <v>4362</v>
      </c>
      <c r="S12" s="214"/>
      <c r="T12" s="214"/>
      <c r="U12" s="214"/>
      <c r="V12" s="214"/>
      <c r="W12" s="214"/>
      <c r="X12" s="215"/>
      <c r="Y12" s="6"/>
    </row>
    <row r="13" spans="1:25" ht="15" thickBot="1" x14ac:dyDescent="0.35">
      <c r="A13" s="137">
        <v>123</v>
      </c>
      <c r="B13" s="114" t="s">
        <v>410</v>
      </c>
      <c r="C13" s="230">
        <v>95166.27</v>
      </c>
      <c r="D13" s="228">
        <v>7902.47</v>
      </c>
      <c r="E13" s="228">
        <f t="shared" si="1"/>
        <v>103068.74</v>
      </c>
      <c r="F13" s="234">
        <f t="shared" si="0"/>
        <v>75589.27</v>
      </c>
      <c r="G13" s="234">
        <f t="shared" si="2"/>
        <v>19577</v>
      </c>
      <c r="H13" s="214"/>
      <c r="I13" s="214"/>
      <c r="J13" s="214"/>
      <c r="K13" s="214"/>
      <c r="L13" s="214"/>
      <c r="M13" s="214">
        <v>31562.94</v>
      </c>
      <c r="N13" s="214"/>
      <c r="O13" s="214"/>
      <c r="P13" s="214">
        <v>28736.92</v>
      </c>
      <c r="Q13" s="214"/>
      <c r="R13" s="214"/>
      <c r="S13" s="214">
        <v>15289.41</v>
      </c>
      <c r="T13" s="214"/>
      <c r="U13" s="214"/>
      <c r="V13" s="214"/>
      <c r="W13" s="214"/>
      <c r="X13" s="6"/>
      <c r="Y13" s="6"/>
    </row>
    <row r="14" spans="1:25" ht="15" thickBot="1" x14ac:dyDescent="0.35">
      <c r="A14" s="137">
        <v>470</v>
      </c>
      <c r="B14" s="114" t="s">
        <v>411</v>
      </c>
      <c r="C14" s="230">
        <v>63243.27</v>
      </c>
      <c r="D14" s="228">
        <v>31423.88</v>
      </c>
      <c r="E14" s="228">
        <f t="shared" si="1"/>
        <v>94667.15</v>
      </c>
      <c r="F14" s="234">
        <f t="shared" si="0"/>
        <v>49489.58</v>
      </c>
      <c r="G14" s="234">
        <f t="shared" si="2"/>
        <v>13753.689999999995</v>
      </c>
      <c r="H14" s="214"/>
      <c r="I14" s="214"/>
      <c r="J14" s="214"/>
      <c r="K14" s="214"/>
      <c r="L14" s="214"/>
      <c r="M14" s="214"/>
      <c r="N14" s="214">
        <v>8977.59</v>
      </c>
      <c r="O14" s="214"/>
      <c r="P14" s="214"/>
      <c r="Q14" s="214"/>
      <c r="R14" s="214"/>
      <c r="S14" s="215">
        <v>40511.99</v>
      </c>
      <c r="T14" s="214"/>
      <c r="U14" s="214"/>
      <c r="V14" s="214"/>
      <c r="W14" s="214"/>
      <c r="X14" s="214"/>
      <c r="Y14" s="6"/>
    </row>
    <row r="15" spans="1:25" ht="15" thickBot="1" x14ac:dyDescent="0.35">
      <c r="A15" s="137">
        <v>1000</v>
      </c>
      <c r="B15" s="114" t="s">
        <v>412</v>
      </c>
      <c r="C15" s="230">
        <v>63444.18</v>
      </c>
      <c r="D15" s="228"/>
      <c r="E15" s="228">
        <f t="shared" si="1"/>
        <v>63444.18</v>
      </c>
      <c r="F15" s="234">
        <f t="shared" si="0"/>
        <v>63444.18</v>
      </c>
      <c r="G15" s="234">
        <f t="shared" si="2"/>
        <v>0</v>
      </c>
      <c r="H15" s="214"/>
      <c r="I15" s="214"/>
      <c r="J15" s="214"/>
      <c r="K15" s="214"/>
      <c r="L15" s="214">
        <f>15588+3995.81</f>
        <v>19583.810000000001</v>
      </c>
      <c r="M15" s="214"/>
      <c r="N15" s="214">
        <f>4177.55+5649.93</f>
        <v>9827.48</v>
      </c>
      <c r="O15" s="214">
        <v>5650</v>
      </c>
      <c r="P15" s="214">
        <v>5650</v>
      </c>
      <c r="Q15" s="214">
        <v>5650</v>
      </c>
      <c r="R15" s="214">
        <v>5652</v>
      </c>
      <c r="S15" s="44">
        <v>11430.89</v>
      </c>
      <c r="T15" s="214"/>
      <c r="U15" s="214"/>
      <c r="V15" s="214"/>
      <c r="W15" s="214"/>
      <c r="X15" s="214"/>
      <c r="Y15" s="6"/>
    </row>
    <row r="16" spans="1:25" ht="15" thickBot="1" x14ac:dyDescent="0.35">
      <c r="A16" s="137">
        <v>1510</v>
      </c>
      <c r="B16" s="114" t="s">
        <v>413</v>
      </c>
      <c r="C16" s="230">
        <v>27439.61</v>
      </c>
      <c r="D16" s="228">
        <v>3557.09</v>
      </c>
      <c r="E16" s="228">
        <f t="shared" si="1"/>
        <v>30996.7</v>
      </c>
      <c r="F16" s="234">
        <f t="shared" si="0"/>
        <v>21700.49</v>
      </c>
      <c r="G16" s="234">
        <f t="shared" si="2"/>
        <v>5739.119999999999</v>
      </c>
      <c r="H16" s="214"/>
      <c r="I16" s="214"/>
      <c r="J16" s="214"/>
      <c r="K16" s="214"/>
      <c r="L16" s="214"/>
      <c r="M16" s="214"/>
      <c r="N16" s="214"/>
      <c r="O16" s="214">
        <v>10930.35</v>
      </c>
      <c r="P16" s="214"/>
      <c r="Q16" s="214">
        <v>5398.18</v>
      </c>
      <c r="R16" s="214"/>
      <c r="S16" s="44">
        <v>5371.96</v>
      </c>
      <c r="T16" s="214"/>
      <c r="U16" s="214"/>
      <c r="V16" s="214"/>
      <c r="W16" s="214"/>
      <c r="X16" s="215"/>
      <c r="Y16" s="6"/>
    </row>
    <row r="17" spans="1:25" ht="15" thickBot="1" x14ac:dyDescent="0.35">
      <c r="A17" s="137">
        <v>1560</v>
      </c>
      <c r="B17" s="114" t="s">
        <v>414</v>
      </c>
      <c r="C17" s="230">
        <v>33561.97</v>
      </c>
      <c r="D17" s="228">
        <v>10554.62</v>
      </c>
      <c r="E17" s="228">
        <f t="shared" si="1"/>
        <v>44116.590000000004</v>
      </c>
      <c r="F17" s="234">
        <f t="shared" si="0"/>
        <v>14762.84</v>
      </c>
      <c r="G17" s="234">
        <f t="shared" si="2"/>
        <v>18799.13</v>
      </c>
      <c r="H17" s="214"/>
      <c r="I17" s="214"/>
      <c r="J17" s="214"/>
      <c r="K17" s="214"/>
      <c r="L17" s="214"/>
      <c r="M17" s="214">
        <v>8293.09</v>
      </c>
      <c r="N17" s="214">
        <v>1800.4</v>
      </c>
      <c r="O17" s="214"/>
      <c r="P17" s="214">
        <v>4000.35</v>
      </c>
      <c r="Q17" s="214"/>
      <c r="R17" s="214"/>
      <c r="S17" s="214">
        <v>669</v>
      </c>
      <c r="T17" s="214"/>
      <c r="U17" s="346"/>
      <c r="V17" s="214"/>
      <c r="W17" s="214"/>
      <c r="X17" s="215"/>
      <c r="Y17" s="6"/>
    </row>
    <row r="18" spans="1:25" ht="15" thickBot="1" x14ac:dyDescent="0.35">
      <c r="A18" s="137">
        <v>2000</v>
      </c>
      <c r="B18" s="114" t="s">
        <v>415</v>
      </c>
      <c r="C18" s="230">
        <v>47583.14</v>
      </c>
      <c r="D18" s="228"/>
      <c r="E18" s="228">
        <f t="shared" si="1"/>
        <v>47583.14</v>
      </c>
      <c r="F18" s="234">
        <f t="shared" si="0"/>
        <v>27915.460000000003</v>
      </c>
      <c r="G18" s="234">
        <f t="shared" si="2"/>
        <v>19667.679999999997</v>
      </c>
      <c r="H18" s="214"/>
      <c r="I18" s="214"/>
      <c r="J18" s="214"/>
      <c r="K18" s="214"/>
      <c r="L18" s="214">
        <f>2745.73+5363.68</f>
        <v>8109.41</v>
      </c>
      <c r="M18" s="214">
        <v>3333.88</v>
      </c>
      <c r="N18" s="214"/>
      <c r="O18" s="214">
        <v>5455.86</v>
      </c>
      <c r="P18" s="214">
        <v>2735.08</v>
      </c>
      <c r="Q18" s="214">
        <v>2727.93</v>
      </c>
      <c r="R18" s="214">
        <v>2727.93</v>
      </c>
      <c r="S18" s="214">
        <v>2825.37</v>
      </c>
      <c r="T18" s="214"/>
      <c r="U18" s="214"/>
      <c r="V18" s="214"/>
      <c r="W18" s="214"/>
      <c r="X18" s="215"/>
      <c r="Y18" s="6"/>
    </row>
    <row r="19" spans="1:25" ht="15.6" customHeight="1" thickBot="1" x14ac:dyDescent="0.35">
      <c r="A19" s="137">
        <v>3120</v>
      </c>
      <c r="B19" s="114" t="s">
        <v>416</v>
      </c>
      <c r="C19" s="230">
        <v>57282.69</v>
      </c>
      <c r="D19" s="228">
        <v>1373.74</v>
      </c>
      <c r="E19" s="228">
        <f t="shared" si="1"/>
        <v>58656.43</v>
      </c>
      <c r="F19" s="234">
        <f t="shared" si="0"/>
        <v>35586.149999999994</v>
      </c>
      <c r="G19" s="234">
        <f t="shared" si="2"/>
        <v>21696.540000000008</v>
      </c>
      <c r="H19" s="214"/>
      <c r="I19" s="214"/>
      <c r="J19" s="214"/>
      <c r="K19" s="214"/>
      <c r="L19" s="214">
        <v>14389.33</v>
      </c>
      <c r="M19" s="214">
        <v>3669.68</v>
      </c>
      <c r="N19" s="214">
        <v>2979.21</v>
      </c>
      <c r="O19" s="214">
        <v>1576.87</v>
      </c>
      <c r="P19" s="214">
        <v>3861.95</v>
      </c>
      <c r="Q19" s="214">
        <v>2606.79</v>
      </c>
      <c r="R19" s="214">
        <v>3276.71</v>
      </c>
      <c r="S19" s="44">
        <v>3225.61</v>
      </c>
      <c r="T19" s="214"/>
      <c r="U19" s="214"/>
      <c r="V19" s="214"/>
      <c r="W19" s="214"/>
      <c r="X19" s="214"/>
      <c r="Y19" s="6"/>
    </row>
    <row r="20" spans="1:25" ht="15" thickBot="1" x14ac:dyDescent="0.35">
      <c r="A20" s="137">
        <v>9035</v>
      </c>
      <c r="B20" s="114" t="s">
        <v>417</v>
      </c>
      <c r="C20" s="230">
        <v>68731.199999999997</v>
      </c>
      <c r="D20" s="228">
        <v>1520</v>
      </c>
      <c r="E20" s="228">
        <f t="shared" si="1"/>
        <v>70251.199999999997</v>
      </c>
      <c r="F20" s="234">
        <f t="shared" si="0"/>
        <v>59445</v>
      </c>
      <c r="G20" s="234">
        <f t="shared" si="2"/>
        <v>9286.1999999999971</v>
      </c>
      <c r="H20" s="214"/>
      <c r="I20" s="214"/>
      <c r="J20" s="214">
        <v>10382</v>
      </c>
      <c r="K20" s="214"/>
      <c r="L20" s="214">
        <f>3537+9002</f>
        <v>12539</v>
      </c>
      <c r="M20" s="214">
        <v>5907</v>
      </c>
      <c r="N20" s="214">
        <v>4277</v>
      </c>
      <c r="O20" s="214">
        <v>5900</v>
      </c>
      <c r="P20" s="214">
        <v>4830</v>
      </c>
      <c r="Q20" s="214">
        <v>9570</v>
      </c>
      <c r="R20" s="214">
        <v>6040</v>
      </c>
      <c r="S20" s="214"/>
      <c r="T20" s="214"/>
      <c r="U20" s="214"/>
      <c r="V20" s="214"/>
      <c r="W20" s="214"/>
      <c r="X20" s="215"/>
      <c r="Y20" s="6"/>
    </row>
    <row r="21" spans="1:25" ht="15" thickBot="1" x14ac:dyDescent="0.35">
      <c r="A21" s="137">
        <v>9055</v>
      </c>
      <c r="B21" s="114" t="s">
        <v>418</v>
      </c>
      <c r="C21" s="230">
        <v>54984.959999999999</v>
      </c>
      <c r="D21" s="228">
        <v>3266.14</v>
      </c>
      <c r="E21" s="228">
        <f t="shared" si="1"/>
        <v>58251.1</v>
      </c>
      <c r="F21" s="234">
        <f t="shared" si="0"/>
        <v>38876.6</v>
      </c>
      <c r="G21" s="234">
        <f>C21-F21</f>
        <v>16108.36</v>
      </c>
      <c r="H21" s="214"/>
      <c r="I21" s="214"/>
      <c r="J21" s="214">
        <v>3000.04</v>
      </c>
      <c r="K21" s="214">
        <f>+H21</f>
        <v>0</v>
      </c>
      <c r="L21" s="214">
        <f>4624.74+2879.92+4332.71</f>
        <v>11837.369999999999</v>
      </c>
      <c r="M21" s="214">
        <v>2874.09</v>
      </c>
      <c r="N21" s="214">
        <v>4215.8999999999996</v>
      </c>
      <c r="O21" s="214">
        <v>2874.09</v>
      </c>
      <c r="P21" s="214">
        <v>3283.91</v>
      </c>
      <c r="Q21" s="214"/>
      <c r="R21" s="214">
        <v>7688.63</v>
      </c>
      <c r="S21" s="214">
        <v>3102.57</v>
      </c>
      <c r="T21" s="214"/>
      <c r="U21" s="214"/>
      <c r="V21" s="214"/>
      <c r="W21" s="214"/>
      <c r="X21" s="214"/>
      <c r="Y21" s="6"/>
    </row>
    <row r="22" spans="1:25" ht="15" thickBot="1" x14ac:dyDescent="0.35">
      <c r="A22" s="137"/>
      <c r="B22" s="113"/>
      <c r="C22" s="235"/>
      <c r="D22" s="228"/>
      <c r="E22" s="228"/>
      <c r="F22" s="234"/>
      <c r="G22" s="234"/>
      <c r="H22" s="214"/>
      <c r="I22" s="214"/>
      <c r="J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5"/>
      <c r="Y22" s="6"/>
    </row>
    <row r="23" spans="1:25" ht="15" thickBot="1" x14ac:dyDescent="0.35">
      <c r="A23" s="137"/>
      <c r="B23" s="113"/>
      <c r="C23" s="235"/>
      <c r="D23" s="228"/>
      <c r="E23" s="228"/>
      <c r="F23" s="234">
        <f t="shared" si="0"/>
        <v>0</v>
      </c>
      <c r="G23" s="234">
        <f t="shared" ref="G23" si="3">E23-F23</f>
        <v>0</v>
      </c>
      <c r="H23" s="209"/>
      <c r="I23" s="209"/>
      <c r="J23" s="209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5"/>
      <c r="Y23" s="6"/>
    </row>
    <row r="24" spans="1:25" s="17" customFormat="1" ht="15" thickBot="1" x14ac:dyDescent="0.35">
      <c r="A24" s="168"/>
      <c r="B24" s="169"/>
      <c r="C24" s="236"/>
      <c r="D24" s="237"/>
      <c r="E24" s="237"/>
      <c r="F24" s="238"/>
      <c r="G24" s="238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39"/>
    </row>
    <row r="25" spans="1:25" s="24" customFormat="1" ht="15" thickBot="1" x14ac:dyDescent="0.35">
      <c r="A25" s="111" t="s">
        <v>46</v>
      </c>
      <c r="B25" s="20"/>
      <c r="C25" s="211">
        <f>SUM(C9:C24)</f>
        <v>717578.01</v>
      </c>
      <c r="D25" s="211">
        <v>0</v>
      </c>
      <c r="E25" s="240">
        <f>SUM(E9:E23)</f>
        <v>825128.25999999989</v>
      </c>
      <c r="F25" s="211">
        <f>SUM(F9:F23)</f>
        <v>564002.46</v>
      </c>
      <c r="G25" s="211">
        <f t="shared" ref="G25:X25" si="4">SUM(G9:G24)</f>
        <v>153575.54999999999</v>
      </c>
      <c r="H25" s="211">
        <f t="shared" si="4"/>
        <v>0</v>
      </c>
      <c r="I25" s="211">
        <f t="shared" si="4"/>
        <v>0</v>
      </c>
      <c r="J25" s="211">
        <f t="shared" si="4"/>
        <v>25122.639999999999</v>
      </c>
      <c r="K25" s="211">
        <f t="shared" si="4"/>
        <v>0</v>
      </c>
      <c r="L25" s="211">
        <f t="shared" si="4"/>
        <v>97862.19</v>
      </c>
      <c r="M25" s="211">
        <f t="shared" si="4"/>
        <v>79697.039999999994</v>
      </c>
      <c r="N25" s="211">
        <f t="shared" si="4"/>
        <v>51279.97</v>
      </c>
      <c r="O25" s="211">
        <f t="shared" si="4"/>
        <v>43641.350000000006</v>
      </c>
      <c r="P25" s="211">
        <f t="shared" si="4"/>
        <v>68496.509999999995</v>
      </c>
      <c r="Q25" s="211">
        <f t="shared" si="4"/>
        <v>45278.73</v>
      </c>
      <c r="R25" s="211">
        <f t="shared" si="4"/>
        <v>60301.74</v>
      </c>
      <c r="S25" s="211">
        <f t="shared" si="4"/>
        <v>92322.290000000008</v>
      </c>
      <c r="T25" s="211">
        <f>SUM(T9:T24)</f>
        <v>0</v>
      </c>
      <c r="U25" s="211">
        <f t="shared" si="4"/>
        <v>0</v>
      </c>
      <c r="V25" s="211">
        <f t="shared" si="4"/>
        <v>0</v>
      </c>
      <c r="W25" s="211">
        <f t="shared" si="4"/>
        <v>0</v>
      </c>
      <c r="X25" s="211">
        <f t="shared" si="4"/>
        <v>0</v>
      </c>
      <c r="Y25" s="224"/>
    </row>
    <row r="26" spans="1:25" x14ac:dyDescent="0.3">
      <c r="A26" s="8"/>
      <c r="B26" s="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76622.080000000002</v>
      </c>
      <c r="R26" s="6"/>
      <c r="S26" s="6"/>
      <c r="T26" s="6"/>
      <c r="U26" s="6"/>
      <c r="V26" s="6"/>
      <c r="W26" s="6"/>
      <c r="X26" s="215"/>
      <c r="Y26" s="6"/>
    </row>
    <row r="27" spans="1:25" x14ac:dyDescent="0.3">
      <c r="A27" s="8"/>
      <c r="B27" s="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215"/>
      <c r="Y27" s="6"/>
    </row>
    <row r="28" spans="1:25" x14ac:dyDescent="0.3">
      <c r="A28" s="8"/>
      <c r="B28" s="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215"/>
      <c r="Y28" s="6"/>
    </row>
    <row r="29" spans="1:25" x14ac:dyDescent="0.3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215"/>
      <c r="Y29" s="6"/>
    </row>
    <row r="30" spans="1:25" x14ac:dyDescent="0.3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215"/>
      <c r="Y30" s="6"/>
    </row>
    <row r="31" spans="1:25" x14ac:dyDescent="0.3">
      <c r="C31" s="46"/>
      <c r="D31" s="46"/>
      <c r="E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75"/>
    </row>
    <row r="32" spans="1:25" x14ac:dyDescent="0.3">
      <c r="C32" s="46"/>
      <c r="D32" s="46"/>
      <c r="E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3:24" x14ac:dyDescent="0.3">
      <c r="C33" s="46"/>
      <c r="D33" s="46"/>
      <c r="E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3:24" x14ac:dyDescent="0.3">
      <c r="C34" s="46"/>
      <c r="D34" s="46"/>
      <c r="E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5"/>
    </row>
    <row r="35" spans="3:24" x14ac:dyDescent="0.3">
      <c r="C35" s="46"/>
      <c r="D35" s="46"/>
      <c r="E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30"/>
    </row>
    <row r="36" spans="3:24" x14ac:dyDescent="0.3">
      <c r="C36" s="46"/>
      <c r="D36" s="46"/>
      <c r="E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30"/>
    </row>
    <row r="37" spans="3:24" x14ac:dyDescent="0.3">
      <c r="C37" s="46"/>
      <c r="D37" s="46"/>
      <c r="E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30"/>
    </row>
    <row r="38" spans="3:24" x14ac:dyDescent="0.3">
      <c r="C38" s="46"/>
      <c r="D38" s="46"/>
      <c r="E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30"/>
    </row>
    <row r="39" spans="3:24" x14ac:dyDescent="0.3">
      <c r="C39" s="46"/>
      <c r="D39" s="46"/>
      <c r="E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30"/>
    </row>
    <row r="40" spans="3:24" x14ac:dyDescent="0.3">
      <c r="C40" s="46"/>
      <c r="D40" s="46"/>
      <c r="E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30"/>
    </row>
    <row r="41" spans="3:24" x14ac:dyDescent="0.3">
      <c r="C41" s="46"/>
      <c r="D41" s="46"/>
      <c r="E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30"/>
    </row>
    <row r="42" spans="3:24" x14ac:dyDescent="0.3">
      <c r="C42" s="46"/>
      <c r="D42" s="46"/>
      <c r="E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30"/>
    </row>
    <row r="43" spans="3:24" x14ac:dyDescent="0.3">
      <c r="C43" s="46"/>
      <c r="D43" s="46"/>
      <c r="E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30"/>
    </row>
    <row r="44" spans="3:24" x14ac:dyDescent="0.3">
      <c r="C44" s="46"/>
      <c r="D44" s="46"/>
      <c r="E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30"/>
    </row>
    <row r="45" spans="3:24" x14ac:dyDescent="0.3">
      <c r="C45" s="46"/>
      <c r="D45" s="46"/>
      <c r="E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30"/>
    </row>
    <row r="46" spans="3:24" x14ac:dyDescent="0.3">
      <c r="C46" s="46"/>
      <c r="D46" s="46"/>
      <c r="E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30"/>
    </row>
    <row r="47" spans="3:24" x14ac:dyDescent="0.3">
      <c r="C47" s="46"/>
      <c r="D47" s="46"/>
      <c r="E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30"/>
    </row>
    <row r="48" spans="3:24" x14ac:dyDescent="0.3"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30"/>
    </row>
    <row r="49" spans="8:23" x14ac:dyDescent="0.3"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</row>
    <row r="50" spans="8:23" x14ac:dyDescent="0.3"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</row>
    <row r="51" spans="8:23" x14ac:dyDescent="0.3"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pans="8:23" x14ac:dyDescent="0.3"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8:23" x14ac:dyDescent="0.3"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pans="8:23" x14ac:dyDescent="0.3"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</row>
    <row r="55" spans="8:23" x14ac:dyDescent="0.3"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</row>
    <row r="56" spans="8:23" x14ac:dyDescent="0.3"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</row>
    <row r="57" spans="8:23" x14ac:dyDescent="0.3"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</row>
    <row r="58" spans="8:23" x14ac:dyDescent="0.3"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</row>
    <row r="59" spans="8:23" x14ac:dyDescent="0.3"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</row>
    <row r="60" spans="8:23" x14ac:dyDescent="0.3"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</row>
    <row r="61" spans="8:23" x14ac:dyDescent="0.3"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</row>
    <row r="62" spans="8:23" x14ac:dyDescent="0.3"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</row>
    <row r="63" spans="8:23" x14ac:dyDescent="0.3"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</row>
    <row r="64" spans="8:23" x14ac:dyDescent="0.3"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</row>
    <row r="65" spans="8:23" x14ac:dyDescent="0.3"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</row>
  </sheetData>
  <sheetProtection algorithmName="SHA-512" hashValue="/oI+b9ii/VDgedUwb5CjJqsAplUhsUDEx6fZ6UGVgd8i7M/jzNUB5FGoGenKj4wdj1Z3wItEqg95RqXqRd/rEQ==" saltValue="rtxSlrLPbaKH9gC1qP0PGA==" spinCount="100000" sheet="1" objects="1" scenarios="1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4">
    <tabColor theme="2"/>
  </sheetPr>
  <dimension ref="A1:M49"/>
  <sheetViews>
    <sheetView topLeftCell="B1" workbookViewId="0">
      <pane xSplit="6" ySplit="8" topLeftCell="H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I24" sqref="I24"/>
    </sheetView>
  </sheetViews>
  <sheetFormatPr defaultColWidth="8.5546875" defaultRowHeight="14.4" x14ac:dyDescent="0.3"/>
  <cols>
    <col min="1" max="1" width="8.5546875" style="65"/>
    <col min="2" max="2" width="31.5546875" style="44" customWidth="1"/>
    <col min="3" max="6" width="14.5546875" style="45" customWidth="1"/>
    <col min="7" max="7" width="18.5546875" style="45" customWidth="1"/>
    <col min="8" max="10" width="15.5546875" style="44" customWidth="1"/>
    <col min="11" max="11" width="13.44140625" style="44" customWidth="1"/>
    <col min="12" max="13" width="21.44140625" style="44" customWidth="1"/>
    <col min="14" max="16384" width="8.5546875" style="44"/>
  </cols>
  <sheetData>
    <row r="1" spans="1:13" s="45" customFormat="1" ht="21" x14ac:dyDescent="0.4">
      <c r="A1" s="62" t="s">
        <v>0</v>
      </c>
      <c r="B1" s="53"/>
      <c r="C1" s="47" t="s">
        <v>135</v>
      </c>
      <c r="D1" s="47"/>
      <c r="E1" s="47"/>
      <c r="F1" s="50"/>
      <c r="G1" s="54"/>
      <c r="H1" s="48"/>
      <c r="I1" s="48"/>
      <c r="J1" s="53"/>
      <c r="K1" s="53"/>
      <c r="L1" s="47"/>
      <c r="M1" s="47"/>
    </row>
    <row r="2" spans="1:13" s="45" customFormat="1" ht="21" x14ac:dyDescent="0.4">
      <c r="A2" s="47" t="s">
        <v>147</v>
      </c>
      <c r="B2" s="53"/>
      <c r="C2" s="47" t="s">
        <v>152</v>
      </c>
      <c r="D2" s="47"/>
      <c r="E2" s="47"/>
      <c r="F2" s="50"/>
      <c r="G2" s="54"/>
      <c r="H2" s="48"/>
      <c r="I2" s="48"/>
      <c r="J2" s="53"/>
      <c r="K2" s="53"/>
      <c r="L2" s="47"/>
      <c r="M2" s="47"/>
    </row>
    <row r="3" spans="1:13" s="45" customFormat="1" ht="15.6" x14ac:dyDescent="0.3">
      <c r="A3" s="63" t="s">
        <v>1</v>
      </c>
      <c r="B3" s="53"/>
      <c r="C3" s="99" t="s">
        <v>136</v>
      </c>
      <c r="D3" s="99"/>
      <c r="E3" s="99"/>
      <c r="F3" s="50"/>
      <c r="G3" s="54"/>
      <c r="H3" s="53"/>
      <c r="I3" s="53"/>
      <c r="J3" s="53"/>
      <c r="K3" s="53"/>
      <c r="L3" s="54"/>
      <c r="M3" s="54"/>
    </row>
    <row r="4" spans="1:13" s="45" customFormat="1" ht="15.6" x14ac:dyDescent="0.3">
      <c r="A4" s="63" t="s">
        <v>2</v>
      </c>
      <c r="B4" s="53"/>
      <c r="C4" s="50" t="s">
        <v>162</v>
      </c>
      <c r="D4" s="50"/>
      <c r="E4" s="50"/>
      <c r="F4" s="50"/>
      <c r="G4" s="54"/>
      <c r="H4" s="53"/>
      <c r="I4" s="53"/>
      <c r="J4" s="53"/>
      <c r="K4" s="53"/>
      <c r="L4" s="54"/>
      <c r="M4" s="54"/>
    </row>
    <row r="5" spans="1:13" s="45" customFormat="1" ht="15.6" x14ac:dyDescent="0.3">
      <c r="A5" s="63" t="s">
        <v>18</v>
      </c>
      <c r="B5" s="53"/>
      <c r="C5" s="50" t="s">
        <v>231</v>
      </c>
      <c r="D5" s="50"/>
      <c r="E5" s="50"/>
      <c r="F5" s="50"/>
      <c r="G5" s="52"/>
      <c r="H5" s="53"/>
      <c r="I5" s="53"/>
      <c r="J5" s="53"/>
      <c r="K5" s="53"/>
      <c r="L5" s="52"/>
      <c r="M5" s="52"/>
    </row>
    <row r="6" spans="1:13" s="45" customFormat="1" ht="15.6" x14ac:dyDescent="0.3">
      <c r="A6" s="63" t="s">
        <v>19</v>
      </c>
      <c r="B6" s="53"/>
      <c r="C6" s="50" t="s">
        <v>32</v>
      </c>
      <c r="D6" s="50"/>
      <c r="E6" s="50"/>
      <c r="F6" s="50"/>
      <c r="G6" s="52"/>
      <c r="H6" s="53"/>
      <c r="I6" s="53"/>
      <c r="J6" s="53"/>
      <c r="K6" s="53"/>
      <c r="L6" s="52"/>
      <c r="M6" s="52"/>
    </row>
    <row r="7" spans="1:13" s="45" customFormat="1" ht="16.2" thickBot="1" x14ac:dyDescent="0.35">
      <c r="A7" s="63"/>
      <c r="B7" s="53"/>
      <c r="C7" s="50"/>
      <c r="D7" s="50"/>
      <c r="E7" s="50"/>
      <c r="F7" s="50"/>
      <c r="G7" s="52"/>
      <c r="H7" s="53"/>
      <c r="I7" s="53"/>
      <c r="J7" s="53"/>
      <c r="K7" s="53"/>
      <c r="L7" s="52"/>
      <c r="M7" s="52"/>
    </row>
    <row r="8" spans="1:13" ht="29.4" thickBot="1" x14ac:dyDescent="0.35">
      <c r="A8" s="11" t="s">
        <v>138</v>
      </c>
      <c r="B8" s="12" t="s">
        <v>132</v>
      </c>
      <c r="C8" s="13" t="s">
        <v>15</v>
      </c>
      <c r="D8" s="55" t="s">
        <v>105</v>
      </c>
      <c r="E8" s="55" t="s">
        <v>140</v>
      </c>
      <c r="F8" s="12" t="s">
        <v>16</v>
      </c>
      <c r="G8" s="141" t="s">
        <v>17</v>
      </c>
      <c r="H8" s="12" t="s">
        <v>63</v>
      </c>
      <c r="I8" s="12" t="s">
        <v>64</v>
      </c>
      <c r="J8" s="12" t="s">
        <v>118</v>
      </c>
      <c r="K8" s="12" t="s">
        <v>119</v>
      </c>
      <c r="L8" s="12" t="s">
        <v>157</v>
      </c>
      <c r="M8" s="12" t="s">
        <v>158</v>
      </c>
    </row>
    <row r="9" spans="1:13" s="37" customFormat="1" ht="15" thickBot="1" x14ac:dyDescent="0.35">
      <c r="A9" s="92"/>
      <c r="B9" s="93"/>
      <c r="C9" s="158"/>
      <c r="D9" s="103">
        <v>0</v>
      </c>
      <c r="E9" s="103">
        <f>C9+D9</f>
        <v>0</v>
      </c>
      <c r="F9" s="94">
        <f>H9+I9+J9+K9</f>
        <v>0</v>
      </c>
      <c r="G9" s="140">
        <f>C9-F9</f>
        <v>0</v>
      </c>
      <c r="H9" s="44"/>
      <c r="I9" s="44"/>
      <c r="J9" s="142"/>
      <c r="K9" s="142"/>
      <c r="L9" s="44"/>
      <c r="M9" s="44"/>
    </row>
    <row r="10" spans="1:13" s="37" customFormat="1" ht="15" thickBot="1" x14ac:dyDescent="0.35">
      <c r="A10" s="92"/>
      <c r="B10" s="93"/>
      <c r="C10" s="158"/>
      <c r="D10" s="103">
        <v>0</v>
      </c>
      <c r="E10" s="103">
        <f t="shared" ref="E10:E11" si="0">C10+D10</f>
        <v>0</v>
      </c>
      <c r="F10" s="94">
        <f>H10+I10+J10+K10</f>
        <v>0</v>
      </c>
      <c r="G10" s="140">
        <f>C10-F10</f>
        <v>0</v>
      </c>
      <c r="H10" s="44"/>
      <c r="I10" s="44"/>
      <c r="J10" s="142"/>
      <c r="K10" s="142"/>
      <c r="L10" s="44"/>
      <c r="M10" s="44"/>
    </row>
    <row r="11" spans="1:13" s="37" customFormat="1" ht="15" thickBot="1" x14ac:dyDescent="0.35">
      <c r="A11" s="92"/>
      <c r="B11" s="93"/>
      <c r="C11" s="158"/>
      <c r="D11" s="103">
        <v>0</v>
      </c>
      <c r="E11" s="103">
        <f t="shared" si="0"/>
        <v>0</v>
      </c>
      <c r="F11" s="94">
        <f>H11+I11+J11+K11</f>
        <v>0</v>
      </c>
      <c r="G11" s="140">
        <f>C11-F11</f>
        <v>0</v>
      </c>
      <c r="H11" s="44"/>
      <c r="I11" s="44"/>
      <c r="J11" s="142"/>
      <c r="K11" s="142"/>
      <c r="L11" s="44"/>
      <c r="M11" s="44"/>
    </row>
    <row r="12" spans="1:13" ht="15" thickBot="1" x14ac:dyDescent="0.35">
      <c r="A12" s="95"/>
      <c r="B12" s="61"/>
      <c r="C12" s="158"/>
      <c r="D12" s="94"/>
      <c r="E12" s="94"/>
      <c r="F12" s="94"/>
      <c r="G12" s="140"/>
    </row>
    <row r="13" spans="1:13" s="14" customFormat="1" ht="15" thickBot="1" x14ac:dyDescent="0.35">
      <c r="A13" s="98" t="s">
        <v>46</v>
      </c>
      <c r="B13" s="43"/>
      <c r="C13" s="87">
        <f>SUM(C9:C12)</f>
        <v>0</v>
      </c>
      <c r="D13" s="87">
        <v>0</v>
      </c>
      <c r="E13" s="87">
        <f>C13+D13</f>
        <v>0</v>
      </c>
      <c r="F13" s="87">
        <f>SUM(F9:F12)</f>
        <v>0</v>
      </c>
      <c r="G13" s="87">
        <f>SUM(G9:G12)</f>
        <v>0</v>
      </c>
      <c r="H13" s="87">
        <f>SUM(H9:H11)</f>
        <v>0</v>
      </c>
      <c r="I13" s="87">
        <f>SUM(I9:I11)</f>
        <v>0</v>
      </c>
      <c r="J13" s="87">
        <f>SUM(J9:J12)</f>
        <v>0</v>
      </c>
      <c r="K13" s="87">
        <f>SUM(K9:K12)</f>
        <v>0</v>
      </c>
      <c r="L13" s="87">
        <f t="shared" ref="L13:M13" si="1">SUM(L9:L12)</f>
        <v>0</v>
      </c>
      <c r="M13" s="87">
        <f t="shared" si="1"/>
        <v>0</v>
      </c>
    </row>
    <row r="14" spans="1:13" x14ac:dyDescent="0.3">
      <c r="C14" s="46"/>
      <c r="D14" s="46"/>
      <c r="E14" s="46"/>
      <c r="F14" s="46"/>
      <c r="G14" s="46"/>
      <c r="L14" s="75"/>
      <c r="M14" s="75"/>
    </row>
    <row r="15" spans="1:13" x14ac:dyDescent="0.3">
      <c r="C15" s="46"/>
      <c r="D15" s="46"/>
      <c r="E15" s="46"/>
      <c r="F15" s="46"/>
      <c r="G15" s="46"/>
      <c r="L15" s="75"/>
      <c r="M15" s="75"/>
    </row>
    <row r="16" spans="1:13" x14ac:dyDescent="0.3">
      <c r="C16" s="46"/>
      <c r="D16" s="46"/>
      <c r="E16" s="46"/>
      <c r="F16" s="46"/>
      <c r="G16" s="46"/>
    </row>
    <row r="17" spans="3:13" x14ac:dyDescent="0.3">
      <c r="C17" s="46"/>
      <c r="D17" s="46"/>
      <c r="E17" s="46"/>
      <c r="F17" s="46"/>
      <c r="G17" s="46"/>
    </row>
    <row r="18" spans="3:13" x14ac:dyDescent="0.3">
      <c r="C18" s="46"/>
      <c r="D18" s="46"/>
      <c r="E18" s="46"/>
      <c r="F18" s="46"/>
      <c r="G18" s="46"/>
    </row>
    <row r="19" spans="3:13" x14ac:dyDescent="0.3">
      <c r="C19" s="46"/>
      <c r="D19" s="46"/>
      <c r="E19" s="46"/>
      <c r="F19" s="46"/>
      <c r="G19" s="46"/>
      <c r="L19" s="75"/>
      <c r="M19" s="75"/>
    </row>
    <row r="20" spans="3:13" x14ac:dyDescent="0.3">
      <c r="C20" s="46"/>
      <c r="D20" s="46"/>
      <c r="E20" s="46"/>
      <c r="F20" s="46"/>
      <c r="G20" s="46"/>
    </row>
    <row r="21" spans="3:13" x14ac:dyDescent="0.3">
      <c r="C21" s="46"/>
      <c r="D21" s="46"/>
      <c r="E21" s="46"/>
      <c r="F21" s="46"/>
      <c r="G21" s="46"/>
      <c r="L21" s="75"/>
      <c r="M21" s="75"/>
    </row>
    <row r="22" spans="3:13" x14ac:dyDescent="0.3">
      <c r="C22" s="46"/>
      <c r="D22" s="46"/>
      <c r="E22" s="46"/>
      <c r="F22" s="46"/>
      <c r="G22" s="46"/>
    </row>
    <row r="23" spans="3:13" x14ac:dyDescent="0.3">
      <c r="C23" s="46"/>
      <c r="D23" s="46"/>
      <c r="E23" s="46"/>
      <c r="F23" s="46"/>
      <c r="G23" s="46"/>
    </row>
    <row r="24" spans="3:13" x14ac:dyDescent="0.3">
      <c r="C24" s="46"/>
      <c r="D24" s="46"/>
      <c r="E24" s="46"/>
      <c r="F24" s="46"/>
      <c r="G24" s="46"/>
    </row>
    <row r="25" spans="3:13" x14ac:dyDescent="0.3">
      <c r="C25" s="46"/>
      <c r="D25" s="46"/>
      <c r="E25" s="46"/>
      <c r="F25" s="46"/>
      <c r="G25" s="46"/>
      <c r="L25" s="75"/>
      <c r="M25" s="75"/>
    </row>
    <row r="26" spans="3:13" x14ac:dyDescent="0.3">
      <c r="C26" s="46"/>
      <c r="D26" s="46"/>
      <c r="E26" s="46"/>
      <c r="F26" s="46"/>
      <c r="G26" s="46"/>
      <c r="L26" s="75"/>
      <c r="M26" s="75"/>
    </row>
    <row r="27" spans="3:13" x14ac:dyDescent="0.3">
      <c r="C27" s="46"/>
      <c r="D27" s="46"/>
      <c r="E27" s="46"/>
      <c r="F27" s="46"/>
      <c r="G27" s="46"/>
    </row>
    <row r="28" spans="3:13" x14ac:dyDescent="0.3">
      <c r="C28" s="46"/>
      <c r="D28" s="46"/>
      <c r="E28" s="46"/>
      <c r="F28" s="46"/>
      <c r="G28" s="46"/>
    </row>
    <row r="29" spans="3:13" x14ac:dyDescent="0.3">
      <c r="C29" s="46"/>
      <c r="D29" s="46"/>
      <c r="E29" s="46"/>
      <c r="F29" s="46"/>
      <c r="G29" s="46"/>
    </row>
    <row r="30" spans="3:13" x14ac:dyDescent="0.3">
      <c r="C30" s="46"/>
      <c r="D30" s="46"/>
      <c r="E30" s="46"/>
      <c r="F30" s="46"/>
      <c r="G30" s="46"/>
    </row>
    <row r="31" spans="3:13" x14ac:dyDescent="0.3">
      <c r="C31" s="46"/>
      <c r="D31" s="46"/>
      <c r="E31" s="46"/>
      <c r="F31" s="46"/>
      <c r="G31" s="46"/>
    </row>
    <row r="32" spans="3:13" x14ac:dyDescent="0.3">
      <c r="C32" s="46"/>
      <c r="D32" s="46"/>
      <c r="E32" s="46"/>
      <c r="F32" s="46"/>
      <c r="G32" s="46"/>
      <c r="L32" s="75"/>
      <c r="M32" s="75"/>
    </row>
    <row r="33" spans="3:13" x14ac:dyDescent="0.3">
      <c r="C33" s="46"/>
      <c r="D33" s="46"/>
      <c r="E33" s="46"/>
      <c r="F33" s="46"/>
      <c r="G33" s="46"/>
    </row>
    <row r="34" spans="3:13" x14ac:dyDescent="0.3">
      <c r="C34" s="46"/>
      <c r="D34" s="46"/>
      <c r="E34" s="46"/>
      <c r="F34" s="46"/>
      <c r="G34" s="46"/>
    </row>
    <row r="35" spans="3:13" x14ac:dyDescent="0.3">
      <c r="C35" s="46"/>
      <c r="D35" s="46"/>
      <c r="E35" s="46"/>
      <c r="F35" s="46"/>
      <c r="G35" s="46"/>
      <c r="L35" s="45"/>
      <c r="M35" s="45"/>
    </row>
    <row r="36" spans="3:13" x14ac:dyDescent="0.3">
      <c r="F36" s="46"/>
      <c r="G36" s="46"/>
      <c r="L36" s="30"/>
      <c r="M36" s="30"/>
    </row>
    <row r="37" spans="3:13" x14ac:dyDescent="0.3">
      <c r="F37" s="46"/>
      <c r="G37" s="46"/>
      <c r="L37" s="30"/>
      <c r="M37" s="30"/>
    </row>
    <row r="38" spans="3:13" x14ac:dyDescent="0.3">
      <c r="F38" s="46"/>
      <c r="G38" s="46"/>
      <c r="L38" s="30"/>
      <c r="M38" s="30"/>
    </row>
    <row r="39" spans="3:13" x14ac:dyDescent="0.3">
      <c r="L39" s="30"/>
      <c r="M39" s="30"/>
    </row>
    <row r="40" spans="3:13" x14ac:dyDescent="0.3">
      <c r="L40" s="30"/>
      <c r="M40" s="30"/>
    </row>
    <row r="41" spans="3:13" x14ac:dyDescent="0.3">
      <c r="L41" s="30"/>
      <c r="M41" s="30"/>
    </row>
    <row r="42" spans="3:13" x14ac:dyDescent="0.3">
      <c r="L42" s="30"/>
      <c r="M42" s="30"/>
    </row>
    <row r="43" spans="3:13" x14ac:dyDescent="0.3">
      <c r="L43" s="30"/>
      <c r="M43" s="30"/>
    </row>
    <row r="44" spans="3:13" x14ac:dyDescent="0.3">
      <c r="L44" s="30"/>
      <c r="M44" s="30"/>
    </row>
    <row r="45" spans="3:13" x14ac:dyDescent="0.3">
      <c r="L45" s="30"/>
      <c r="M45" s="30"/>
    </row>
    <row r="46" spans="3:13" x14ac:dyDescent="0.3">
      <c r="L46" s="30"/>
      <c r="M46" s="30"/>
    </row>
    <row r="47" spans="3:13" x14ac:dyDescent="0.3">
      <c r="L47" s="30"/>
      <c r="M47" s="30"/>
    </row>
    <row r="48" spans="3:13" x14ac:dyDescent="0.3">
      <c r="L48" s="30"/>
      <c r="M48" s="30"/>
    </row>
    <row r="49" spans="12:13" x14ac:dyDescent="0.3">
      <c r="L49" s="30"/>
      <c r="M49" s="30"/>
    </row>
  </sheetData>
  <sheetProtection algorithmName="SHA-512" hashValue="Pqt8DozVMN68DiiO605oNhHNthG/O1yP0dt7C2zN+27qCF3xwhg13JfPfdHddxTrYtWX0m5Pjcje5rG9rFelbw==" saltValue="7TInhk3MRPBJWl7NS7VvdA==" spinCount="100000" sheet="1" objects="1" scenarios="1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8">
    <tabColor theme="2"/>
  </sheetPr>
  <dimension ref="A1:AI80"/>
  <sheetViews>
    <sheetView workbookViewId="0">
      <pane xSplit="7" ySplit="8" topLeftCell="H24" activePane="bottomRight" state="frozen"/>
      <selection activeCell="A8" sqref="A8:XFD8"/>
      <selection pane="topRight" activeCell="A8" sqref="A8:XFD8"/>
      <selection pane="bottomLeft" activeCell="A8" sqref="A8:XFD8"/>
      <selection pane="bottomRight" activeCell="F50" sqref="F50"/>
    </sheetView>
  </sheetViews>
  <sheetFormatPr defaultColWidth="9.44140625" defaultRowHeight="14.4" x14ac:dyDescent="0.3"/>
  <cols>
    <col min="1" max="1" width="9.44140625" style="45"/>
    <col min="2" max="2" width="32.44140625" style="45" customWidth="1"/>
    <col min="3" max="7" width="14.5546875" style="45" customWidth="1"/>
    <col min="8" max="31" width="12.5546875" style="45" customWidth="1"/>
    <col min="32" max="33" width="21.44140625" style="44" customWidth="1"/>
    <col min="34" max="16384" width="9.44140625" style="45"/>
  </cols>
  <sheetData>
    <row r="1" spans="1:33" ht="21" x14ac:dyDescent="0.4">
      <c r="A1" s="47" t="s">
        <v>0</v>
      </c>
      <c r="B1" s="53"/>
      <c r="C1" s="48" t="s">
        <v>154</v>
      </c>
      <c r="D1" s="48"/>
      <c r="E1" s="48"/>
      <c r="F1" s="48"/>
      <c r="G1" s="48"/>
      <c r="H1" s="47"/>
      <c r="I1" s="49"/>
      <c r="J1" s="48"/>
      <c r="K1" s="53"/>
      <c r="L1" s="53"/>
      <c r="M1" s="53"/>
      <c r="N1" s="48" t="str">
        <f>$C$1</f>
        <v>Multi-Tiered System of Supports</v>
      </c>
      <c r="O1" s="53"/>
      <c r="P1" s="53"/>
      <c r="Q1" s="48"/>
      <c r="R1" s="53"/>
      <c r="S1" s="53"/>
      <c r="T1" s="48" t="str">
        <f>$C$1</f>
        <v>Multi-Tiered System of Supports</v>
      </c>
      <c r="U1" s="53"/>
      <c r="V1" s="53"/>
      <c r="W1" s="53"/>
      <c r="X1" s="53"/>
      <c r="Y1" s="53"/>
      <c r="Z1" s="53"/>
      <c r="AA1" s="48" t="str">
        <f>$C$1</f>
        <v>Multi-Tiered System of Supports</v>
      </c>
      <c r="AB1" s="53"/>
      <c r="AC1" s="53"/>
      <c r="AD1" s="53"/>
      <c r="AE1" s="53"/>
      <c r="AF1" s="47"/>
      <c r="AG1" s="47"/>
    </row>
    <row r="2" spans="1:33" ht="21" x14ac:dyDescent="0.4">
      <c r="A2" s="47" t="s">
        <v>147</v>
      </c>
      <c r="B2" s="53"/>
      <c r="C2" s="132" t="s">
        <v>153</v>
      </c>
      <c r="D2" s="132"/>
      <c r="E2" s="132"/>
      <c r="F2" s="48"/>
      <c r="G2" s="39"/>
      <c r="H2" s="50"/>
      <c r="I2" s="19"/>
      <c r="J2" s="50"/>
      <c r="K2" s="53"/>
      <c r="L2" s="53"/>
      <c r="M2" s="53"/>
      <c r="N2" s="50" t="str">
        <f>"FY"&amp;$C$4</f>
        <v>FY2019-20</v>
      </c>
      <c r="O2" s="53"/>
      <c r="P2" s="53"/>
      <c r="Q2" s="56"/>
      <c r="R2" s="53"/>
      <c r="S2" s="53"/>
      <c r="T2" s="50" t="str">
        <f>"FY"&amp;$C$4</f>
        <v>FY2019-20</v>
      </c>
      <c r="U2" s="53"/>
      <c r="V2" s="53"/>
      <c r="W2" s="53"/>
      <c r="X2" s="53"/>
      <c r="Y2" s="53"/>
      <c r="Z2" s="53"/>
      <c r="AA2" s="50" t="str">
        <f>"FY"&amp;$C$4</f>
        <v>FY2019-20</v>
      </c>
      <c r="AB2" s="53"/>
      <c r="AC2" s="53"/>
      <c r="AD2" s="53"/>
      <c r="AE2" s="53"/>
      <c r="AF2" s="47"/>
      <c r="AG2" s="47"/>
    </row>
    <row r="3" spans="1:33" ht="16.350000000000001" customHeight="1" x14ac:dyDescent="0.4">
      <c r="A3" s="50" t="s">
        <v>1</v>
      </c>
      <c r="B3" s="53"/>
      <c r="C3" s="51">
        <v>5323</v>
      </c>
      <c r="D3" s="51"/>
      <c r="E3" s="51"/>
      <c r="F3" s="48"/>
      <c r="G3" s="51"/>
      <c r="H3" s="50"/>
      <c r="I3" s="19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  <c r="AG3" s="54"/>
    </row>
    <row r="4" spans="1:33" ht="16.350000000000001" customHeight="1" x14ac:dyDescent="0.4">
      <c r="A4" s="50" t="s">
        <v>2</v>
      </c>
      <c r="B4" s="53"/>
      <c r="C4" s="51" t="s">
        <v>398</v>
      </c>
      <c r="D4" s="51"/>
      <c r="E4" s="51"/>
      <c r="F4" s="48"/>
      <c r="G4" s="51"/>
      <c r="H4" s="50"/>
      <c r="I4" s="19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4"/>
      <c r="AG4" s="54"/>
    </row>
    <row r="5" spans="1:33" ht="16.350000000000001" customHeight="1" x14ac:dyDescent="0.4">
      <c r="A5" s="50" t="s">
        <v>18</v>
      </c>
      <c r="B5" s="53"/>
      <c r="C5" s="63" t="s">
        <v>402</v>
      </c>
      <c r="D5" s="50"/>
      <c r="E5" s="50"/>
      <c r="F5" s="48"/>
      <c r="G5" s="50"/>
      <c r="H5" s="19"/>
      <c r="I5" s="19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2"/>
      <c r="AG5" s="52"/>
    </row>
    <row r="6" spans="1:33" ht="16.350000000000001" customHeight="1" x14ac:dyDescent="0.4">
      <c r="A6" s="50" t="s">
        <v>19</v>
      </c>
      <c r="B6" s="53"/>
      <c r="C6" s="67" t="s">
        <v>403</v>
      </c>
      <c r="D6" s="50"/>
      <c r="E6" s="50"/>
      <c r="F6" s="48"/>
      <c r="G6" s="50"/>
      <c r="H6" s="19"/>
      <c r="I6" s="19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2"/>
      <c r="AG6" s="52"/>
    </row>
    <row r="7" spans="1:33" ht="15" thickBot="1" x14ac:dyDescent="0.3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2"/>
      <c r="AG7" s="52"/>
    </row>
    <row r="8" spans="1:33" ht="34.5" customHeight="1" thickBot="1" x14ac:dyDescent="0.35">
      <c r="A8" s="55" t="s">
        <v>138</v>
      </c>
      <c r="B8" s="27" t="s">
        <v>44</v>
      </c>
      <c r="C8" s="27" t="s">
        <v>15</v>
      </c>
      <c r="D8" s="27" t="s">
        <v>105</v>
      </c>
      <c r="E8" s="55" t="s">
        <v>140</v>
      </c>
      <c r="F8" s="55" t="s">
        <v>16</v>
      </c>
      <c r="G8" s="60" t="s">
        <v>17</v>
      </c>
      <c r="H8" s="26" t="s">
        <v>126</v>
      </c>
      <c r="I8" s="27" t="s">
        <v>127</v>
      </c>
      <c r="J8" s="26" t="s">
        <v>128</v>
      </c>
      <c r="K8" s="27" t="s">
        <v>163</v>
      </c>
      <c r="L8" s="26" t="s">
        <v>164</v>
      </c>
      <c r="M8" s="27" t="s">
        <v>130</v>
      </c>
      <c r="N8" s="27" t="s">
        <v>232</v>
      </c>
      <c r="O8" s="27" t="s">
        <v>233</v>
      </c>
      <c r="P8" s="27" t="s">
        <v>234</v>
      </c>
      <c r="Q8" s="27" t="s">
        <v>235</v>
      </c>
      <c r="R8" s="27" t="s">
        <v>236</v>
      </c>
      <c r="S8" s="27" t="s">
        <v>399</v>
      </c>
      <c r="T8" s="26" t="s">
        <v>238</v>
      </c>
      <c r="U8" s="27" t="s">
        <v>239</v>
      </c>
      <c r="V8" s="27" t="s">
        <v>240</v>
      </c>
      <c r="W8" s="27" t="s">
        <v>400</v>
      </c>
      <c r="X8" s="26" t="s">
        <v>401</v>
      </c>
      <c r="Y8" s="27" t="s">
        <v>130</v>
      </c>
      <c r="Z8" s="12" t="s">
        <v>157</v>
      </c>
      <c r="AA8" s="198" t="s">
        <v>236</v>
      </c>
      <c r="AB8" s="198" t="s">
        <v>237</v>
      </c>
      <c r="AC8" s="198" t="s">
        <v>238</v>
      </c>
      <c r="AD8" s="198" t="s">
        <v>239</v>
      </c>
      <c r="AE8" s="198" t="s">
        <v>240</v>
      </c>
      <c r="AF8" s="198" t="s">
        <v>157</v>
      </c>
      <c r="AG8" s="198" t="s">
        <v>158</v>
      </c>
    </row>
    <row r="9" spans="1:33" ht="15" thickBot="1" x14ac:dyDescent="0.35">
      <c r="A9" s="92" t="s">
        <v>3</v>
      </c>
      <c r="B9" s="93" t="s">
        <v>79</v>
      </c>
      <c r="C9" s="103"/>
      <c r="D9" s="189"/>
      <c r="E9" s="103"/>
      <c r="F9" s="112"/>
      <c r="G9" s="200">
        <f t="shared" ref="G9:G41" si="0">E9-F9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2"/>
      <c r="AG9" s="202"/>
    </row>
    <row r="10" spans="1:33" ht="15" thickBot="1" x14ac:dyDescent="0.35">
      <c r="A10" s="92" t="s">
        <v>283</v>
      </c>
      <c r="B10" s="93" t="s">
        <v>339</v>
      </c>
      <c r="C10" s="103"/>
      <c r="D10" s="189"/>
      <c r="E10" s="103"/>
      <c r="F10" s="112"/>
      <c r="G10" s="200">
        <f>E10-F10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2"/>
      <c r="AG10" s="202"/>
    </row>
    <row r="11" spans="1:33" ht="15" thickBot="1" x14ac:dyDescent="0.35">
      <c r="A11" s="92" t="s">
        <v>4</v>
      </c>
      <c r="B11" s="93" t="s">
        <v>91</v>
      </c>
      <c r="C11" s="103"/>
      <c r="D11" s="189"/>
      <c r="E11" s="103"/>
      <c r="F11" s="112"/>
      <c r="G11" s="200">
        <f t="shared" si="0"/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329">
        <v>1815.63</v>
      </c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2"/>
      <c r="AG11" s="202"/>
    </row>
    <row r="12" spans="1:33" ht="29.4" thickBot="1" x14ac:dyDescent="0.35">
      <c r="A12" s="92" t="s">
        <v>335</v>
      </c>
      <c r="B12" s="93" t="s">
        <v>340</v>
      </c>
      <c r="C12" s="103"/>
      <c r="D12" s="189"/>
      <c r="E12" s="103"/>
      <c r="F12" s="112"/>
      <c r="G12" s="200">
        <f t="shared" si="0"/>
        <v>0</v>
      </c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2"/>
      <c r="AG12" s="202"/>
    </row>
    <row r="13" spans="1:33" ht="29.4" thickBot="1" x14ac:dyDescent="0.35">
      <c r="A13" s="92" t="s">
        <v>38</v>
      </c>
      <c r="B13" s="93" t="s">
        <v>341</v>
      </c>
      <c r="C13" s="103"/>
      <c r="D13" s="189"/>
      <c r="E13" s="103"/>
      <c r="F13" s="112"/>
      <c r="G13" s="200">
        <f t="shared" si="0"/>
        <v>0</v>
      </c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2"/>
      <c r="AG13" s="202"/>
    </row>
    <row r="14" spans="1:33" ht="15" thickBot="1" x14ac:dyDescent="0.35">
      <c r="A14" s="92" t="s">
        <v>390</v>
      </c>
      <c r="B14" s="93" t="s">
        <v>391</v>
      </c>
      <c r="C14" s="103"/>
      <c r="D14" s="189"/>
      <c r="E14" s="103"/>
      <c r="F14" s="112"/>
      <c r="G14" s="200">
        <f t="shared" si="0"/>
        <v>0</v>
      </c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2"/>
      <c r="AG14" s="202"/>
    </row>
    <row r="15" spans="1:33" ht="15" thickBot="1" x14ac:dyDescent="0.35">
      <c r="A15" s="92" t="s">
        <v>88</v>
      </c>
      <c r="B15" s="93" t="s">
        <v>89</v>
      </c>
      <c r="C15" s="103"/>
      <c r="D15" s="189"/>
      <c r="E15" s="103"/>
      <c r="F15" s="112"/>
      <c r="G15" s="200">
        <f t="shared" si="0"/>
        <v>0</v>
      </c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</row>
    <row r="16" spans="1:33" ht="15" thickBot="1" x14ac:dyDescent="0.35">
      <c r="A16" s="92" t="s">
        <v>93</v>
      </c>
      <c r="B16" s="93" t="s">
        <v>115</v>
      </c>
      <c r="C16" s="103"/>
      <c r="D16" s="189"/>
      <c r="E16" s="103"/>
      <c r="F16" s="112"/>
      <c r="G16" s="200">
        <f t="shared" si="0"/>
        <v>0</v>
      </c>
      <c r="H16" s="201"/>
      <c r="I16" s="201"/>
      <c r="J16" s="201"/>
      <c r="K16" s="203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</row>
    <row r="17" spans="1:33" ht="15" thickBot="1" x14ac:dyDescent="0.35">
      <c r="A17" s="92" t="s">
        <v>73</v>
      </c>
      <c r="B17" s="93" t="s">
        <v>244</v>
      </c>
      <c r="C17" s="103"/>
      <c r="D17" s="189"/>
      <c r="E17" s="103"/>
      <c r="F17" s="112"/>
      <c r="G17" s="200">
        <f t="shared" si="0"/>
        <v>0</v>
      </c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2"/>
    </row>
    <row r="18" spans="1:33" ht="15" thickBot="1" x14ac:dyDescent="0.35">
      <c r="A18" s="92" t="s">
        <v>108</v>
      </c>
      <c r="B18" s="93" t="s">
        <v>342</v>
      </c>
      <c r="C18" s="103"/>
      <c r="D18" s="189"/>
      <c r="E18" s="103"/>
      <c r="F18" s="112"/>
      <c r="G18" s="200">
        <f t="shared" si="0"/>
        <v>0</v>
      </c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2"/>
    </row>
    <row r="19" spans="1:33" ht="15" thickBot="1" x14ac:dyDescent="0.35">
      <c r="A19" s="92" t="s">
        <v>109</v>
      </c>
      <c r="B19" s="93" t="s">
        <v>343</v>
      </c>
      <c r="C19" s="103"/>
      <c r="D19" s="189"/>
      <c r="E19" s="103"/>
      <c r="F19" s="112"/>
      <c r="G19" s="200">
        <f t="shared" si="0"/>
        <v>0</v>
      </c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2"/>
    </row>
    <row r="20" spans="1:33" ht="15" thickBot="1" x14ac:dyDescent="0.35">
      <c r="A20" s="92" t="s">
        <v>107</v>
      </c>
      <c r="B20" s="93" t="s">
        <v>116</v>
      </c>
      <c r="C20" s="103"/>
      <c r="D20" s="189"/>
      <c r="E20" s="103"/>
      <c r="F20" s="112"/>
      <c r="G20" s="200">
        <f t="shared" si="0"/>
        <v>0</v>
      </c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</row>
    <row r="21" spans="1:33" ht="29.4" thickBot="1" x14ac:dyDescent="0.35">
      <c r="A21" s="92" t="s">
        <v>52</v>
      </c>
      <c r="B21" s="93" t="s">
        <v>344</v>
      </c>
      <c r="C21" s="103"/>
      <c r="D21" s="189"/>
      <c r="E21" s="103"/>
      <c r="F21" s="112"/>
      <c r="G21" s="200">
        <f t="shared" si="0"/>
        <v>0</v>
      </c>
      <c r="H21" s="201"/>
      <c r="I21" s="201"/>
      <c r="J21" s="201"/>
      <c r="K21" s="201"/>
      <c r="L21" s="201"/>
      <c r="M21" s="201"/>
      <c r="N21" s="201"/>
      <c r="O21" s="201"/>
      <c r="P21" s="201"/>
      <c r="Q21" s="203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2"/>
    </row>
    <row r="22" spans="1:33" ht="15" thickBot="1" x14ac:dyDescent="0.35">
      <c r="A22" s="92" t="s">
        <v>40</v>
      </c>
      <c r="B22" s="93" t="s">
        <v>81</v>
      </c>
      <c r="C22" s="103"/>
      <c r="D22" s="189"/>
      <c r="E22" s="103"/>
      <c r="F22" s="112"/>
      <c r="G22" s="200">
        <f t="shared" si="0"/>
        <v>0</v>
      </c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</row>
    <row r="23" spans="1:33" ht="29.4" thickBot="1" x14ac:dyDescent="0.35">
      <c r="A23" s="92" t="s">
        <v>249</v>
      </c>
      <c r="B23" s="93" t="s">
        <v>265</v>
      </c>
      <c r="C23" s="103"/>
      <c r="D23" s="189"/>
      <c r="E23" s="103"/>
      <c r="F23" s="112"/>
      <c r="G23" s="200">
        <f t="shared" si="0"/>
        <v>0</v>
      </c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2"/>
    </row>
    <row r="24" spans="1:33" ht="29.4" thickBot="1" x14ac:dyDescent="0.35">
      <c r="A24" s="92" t="s">
        <v>82</v>
      </c>
      <c r="B24" s="93" t="s">
        <v>83</v>
      </c>
      <c r="C24" s="103"/>
      <c r="D24" s="189"/>
      <c r="E24" s="103"/>
      <c r="F24" s="112"/>
      <c r="G24" s="200">
        <f t="shared" si="0"/>
        <v>0</v>
      </c>
      <c r="H24" s="201"/>
      <c r="I24" s="201"/>
      <c r="J24" s="201"/>
      <c r="K24" s="201"/>
      <c r="L24" s="201"/>
      <c r="M24" s="201"/>
      <c r="N24" s="201"/>
      <c r="O24" s="201"/>
      <c r="P24" s="201"/>
      <c r="Q24" s="203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2"/>
    </row>
    <row r="25" spans="1:33" ht="15" thickBot="1" x14ac:dyDescent="0.35">
      <c r="A25" s="92" t="s">
        <v>368</v>
      </c>
      <c r="B25" s="93" t="s">
        <v>369</v>
      </c>
      <c r="C25" s="103"/>
      <c r="D25" s="189"/>
      <c r="E25" s="103"/>
      <c r="F25" s="112"/>
      <c r="G25" s="200">
        <f t="shared" si="0"/>
        <v>0</v>
      </c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329">
        <v>3245.4</v>
      </c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2"/>
      <c r="AG25" s="202"/>
    </row>
    <row r="26" spans="1:33" ht="15" thickBot="1" x14ac:dyDescent="0.35">
      <c r="A26" s="92" t="s">
        <v>106</v>
      </c>
      <c r="B26" s="93" t="s">
        <v>345</v>
      </c>
      <c r="C26" s="112"/>
      <c r="D26" s="189"/>
      <c r="E26" s="103"/>
      <c r="F26" s="112"/>
      <c r="G26" s="200">
        <f t="shared" si="0"/>
        <v>0</v>
      </c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329">
        <v>4940</v>
      </c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2"/>
      <c r="AG26" s="202"/>
    </row>
    <row r="27" spans="1:33" ht="15" thickBot="1" x14ac:dyDescent="0.35">
      <c r="A27" s="92" t="s">
        <v>103</v>
      </c>
      <c r="B27" s="93" t="s">
        <v>346</v>
      </c>
      <c r="C27" s="112"/>
      <c r="D27" s="189"/>
      <c r="E27" s="103"/>
      <c r="F27" s="112"/>
      <c r="G27" s="200">
        <f t="shared" si="0"/>
        <v>0</v>
      </c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</row>
    <row r="28" spans="1:33" ht="15" thickBot="1" x14ac:dyDescent="0.35">
      <c r="A28" s="92" t="s">
        <v>110</v>
      </c>
      <c r="B28" s="93" t="s">
        <v>347</v>
      </c>
      <c r="C28" s="112"/>
      <c r="D28" s="189"/>
      <c r="E28" s="103"/>
      <c r="F28" s="112"/>
      <c r="G28" s="200">
        <f t="shared" si="0"/>
        <v>0</v>
      </c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</row>
    <row r="29" spans="1:33" ht="15" thickBot="1" x14ac:dyDescent="0.35">
      <c r="A29" s="92" t="s">
        <v>336</v>
      </c>
      <c r="B29" s="93" t="s">
        <v>348</v>
      </c>
      <c r="C29" s="112"/>
      <c r="D29" s="189"/>
      <c r="E29" s="103"/>
      <c r="F29" s="112"/>
      <c r="G29" s="200">
        <f t="shared" si="0"/>
        <v>0</v>
      </c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2"/>
      <c r="AG29" s="202"/>
    </row>
    <row r="30" spans="1:33" ht="15" thickBot="1" x14ac:dyDescent="0.35">
      <c r="A30" s="92" t="s">
        <v>111</v>
      </c>
      <c r="B30" s="93" t="s">
        <v>349</v>
      </c>
      <c r="C30" s="112"/>
      <c r="D30" s="189"/>
      <c r="E30" s="103"/>
      <c r="F30" s="112"/>
      <c r="G30" s="200">
        <f t="shared" si="0"/>
        <v>0</v>
      </c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2"/>
      <c r="AG30" s="202"/>
    </row>
    <row r="31" spans="1:33" ht="29.4" thickBot="1" x14ac:dyDescent="0.35">
      <c r="A31" s="92" t="s">
        <v>337</v>
      </c>
      <c r="B31" s="93" t="s">
        <v>350</v>
      </c>
      <c r="C31" s="112"/>
      <c r="D31" s="189"/>
      <c r="E31" s="103"/>
      <c r="F31" s="112"/>
      <c r="G31" s="200">
        <f t="shared" si="0"/>
        <v>0</v>
      </c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2"/>
      <c r="AG31" s="202"/>
    </row>
    <row r="32" spans="1:33" ht="15" thickBot="1" x14ac:dyDescent="0.35">
      <c r="A32" s="92" t="s">
        <v>112</v>
      </c>
      <c r="B32" s="93" t="s">
        <v>351</v>
      </c>
      <c r="C32" s="112"/>
      <c r="D32" s="189"/>
      <c r="E32" s="103"/>
      <c r="F32" s="112"/>
      <c r="G32" s="200">
        <f t="shared" si="0"/>
        <v>0</v>
      </c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2"/>
      <c r="AG32" s="202"/>
    </row>
    <row r="33" spans="1:35" ht="15" thickBot="1" x14ac:dyDescent="0.35">
      <c r="A33" s="104" t="s">
        <v>338</v>
      </c>
      <c r="B33" s="28" t="s">
        <v>352</v>
      </c>
      <c r="C33" s="112"/>
      <c r="D33" s="189"/>
      <c r="E33" s="112"/>
      <c r="F33" s="112"/>
      <c r="G33" s="200">
        <f t="shared" si="0"/>
        <v>0</v>
      </c>
      <c r="H33" s="204"/>
      <c r="I33" s="204"/>
      <c r="J33" s="201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44"/>
      <c r="AI33" s="44"/>
    </row>
    <row r="34" spans="1:35" s="24" customFormat="1" ht="15" thickBot="1" x14ac:dyDescent="0.35">
      <c r="A34" s="104" t="s">
        <v>113</v>
      </c>
      <c r="B34" s="28" t="s">
        <v>353</v>
      </c>
      <c r="C34" s="112"/>
      <c r="D34" s="189"/>
      <c r="E34" s="112"/>
      <c r="F34" s="112"/>
      <c r="G34" s="200">
        <f t="shared" si="0"/>
        <v>0</v>
      </c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44"/>
      <c r="AI34" s="44"/>
    </row>
    <row r="35" spans="1:35" ht="15" thickBot="1" x14ac:dyDescent="0.35">
      <c r="A35" s="104" t="s">
        <v>28</v>
      </c>
      <c r="B35" s="28" t="s">
        <v>84</v>
      </c>
      <c r="C35" s="112"/>
      <c r="D35" s="189"/>
      <c r="E35" s="112"/>
      <c r="F35" s="112"/>
      <c r="G35" s="200">
        <f t="shared" si="0"/>
        <v>0</v>
      </c>
      <c r="H35" s="205"/>
      <c r="I35" s="205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1"/>
      <c r="AF35" s="201"/>
      <c r="AG35" s="201"/>
      <c r="AH35" s="44"/>
      <c r="AI35" s="44"/>
    </row>
    <row r="36" spans="1:35" ht="15" thickBot="1" x14ac:dyDescent="0.35">
      <c r="A36" s="104" t="s">
        <v>114</v>
      </c>
      <c r="B36" s="28" t="s">
        <v>117</v>
      </c>
      <c r="C36" s="112"/>
      <c r="D36" s="189"/>
      <c r="E36" s="112"/>
      <c r="F36" s="112"/>
      <c r="G36" s="200">
        <f t="shared" si="0"/>
        <v>0</v>
      </c>
      <c r="H36" s="203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1"/>
      <c r="AG36" s="201"/>
    </row>
    <row r="37" spans="1:35" ht="15" thickBot="1" x14ac:dyDescent="0.35">
      <c r="A37" s="104" t="s">
        <v>54</v>
      </c>
      <c r="B37" s="28" t="s">
        <v>192</v>
      </c>
      <c r="C37" s="112"/>
      <c r="D37" s="189"/>
      <c r="E37" s="112"/>
      <c r="F37" s="112"/>
      <c r="G37" s="200">
        <f t="shared" si="0"/>
        <v>0</v>
      </c>
      <c r="H37" s="203"/>
      <c r="I37" s="206"/>
      <c r="J37" s="206"/>
      <c r="K37" s="206"/>
      <c r="L37" s="206"/>
      <c r="M37" s="206"/>
      <c r="N37" s="206"/>
      <c r="O37" s="203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2"/>
      <c r="AG37" s="202"/>
    </row>
    <row r="38" spans="1:35" ht="15" thickBot="1" x14ac:dyDescent="0.35">
      <c r="A38" s="104" t="s">
        <v>66</v>
      </c>
      <c r="B38" s="28" t="s">
        <v>354</v>
      </c>
      <c r="C38" s="112"/>
      <c r="D38" s="189"/>
      <c r="E38" s="112"/>
      <c r="F38" s="112"/>
      <c r="G38" s="200">
        <f t="shared" si="0"/>
        <v>0</v>
      </c>
      <c r="H38" s="203"/>
      <c r="I38" s="203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2"/>
      <c r="AG38" s="202"/>
    </row>
    <row r="39" spans="1:35" ht="15" thickBot="1" x14ac:dyDescent="0.35">
      <c r="A39" s="104" t="s">
        <v>86</v>
      </c>
      <c r="B39" s="28" t="s">
        <v>330</v>
      </c>
      <c r="C39" s="112"/>
      <c r="D39" s="189"/>
      <c r="E39" s="112"/>
      <c r="F39" s="112"/>
      <c r="G39" s="200">
        <f t="shared" si="0"/>
        <v>0</v>
      </c>
      <c r="H39" s="203"/>
      <c r="I39" s="203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331">
        <v>4412.08</v>
      </c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3"/>
      <c r="AG39" s="203"/>
    </row>
    <row r="40" spans="1:35" ht="15" thickBot="1" x14ac:dyDescent="0.35">
      <c r="A40" s="195" t="s">
        <v>4</v>
      </c>
      <c r="B40" s="28" t="s">
        <v>393</v>
      </c>
      <c r="C40" s="112"/>
      <c r="D40" s="189"/>
      <c r="E40" s="112"/>
      <c r="F40" s="112"/>
      <c r="G40" s="200">
        <f t="shared" si="0"/>
        <v>0</v>
      </c>
      <c r="H40" s="203"/>
      <c r="I40" s="203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3"/>
      <c r="AG40" s="203"/>
    </row>
    <row r="41" spans="1:35" ht="15" thickBot="1" x14ac:dyDescent="0.35">
      <c r="A41" s="195" t="s">
        <v>394</v>
      </c>
      <c r="B41" s="28" t="s">
        <v>395</v>
      </c>
      <c r="C41" s="112"/>
      <c r="D41" s="189"/>
      <c r="E41" s="112"/>
      <c r="F41" s="112"/>
      <c r="G41" s="200">
        <f t="shared" si="0"/>
        <v>0</v>
      </c>
      <c r="H41" s="203"/>
      <c r="I41" s="203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3"/>
      <c r="AG41" s="203"/>
    </row>
    <row r="42" spans="1:35" ht="15" thickBot="1" x14ac:dyDescent="0.35">
      <c r="A42" s="28"/>
      <c r="B42" s="28"/>
      <c r="C42" s="112"/>
      <c r="D42" s="189"/>
      <c r="E42" s="112"/>
      <c r="F42" s="112"/>
      <c r="G42" s="200"/>
      <c r="H42" s="203"/>
      <c r="I42" s="203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3"/>
      <c r="AG42" s="203"/>
    </row>
    <row r="43" spans="1:35" ht="15" thickBot="1" x14ac:dyDescent="0.35">
      <c r="A43" s="28"/>
      <c r="B43" s="28"/>
      <c r="C43" s="112"/>
      <c r="D43" s="189"/>
      <c r="E43" s="112"/>
      <c r="F43" s="112"/>
      <c r="G43" s="200"/>
      <c r="H43" s="203"/>
      <c r="I43" s="203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3"/>
      <c r="AG43" s="203"/>
    </row>
    <row r="44" spans="1:35" ht="15" thickBot="1" x14ac:dyDescent="0.35">
      <c r="A44" s="28"/>
      <c r="B44" s="28"/>
      <c r="C44" s="112"/>
      <c r="D44" s="189"/>
      <c r="E44" s="112"/>
      <c r="F44" s="112"/>
      <c r="G44" s="200"/>
      <c r="H44" s="203"/>
      <c r="I44" s="203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3"/>
      <c r="AG44" s="203"/>
    </row>
    <row r="45" spans="1:35" ht="15" thickBot="1" x14ac:dyDescent="0.35">
      <c r="A45" s="28"/>
      <c r="B45" s="28"/>
      <c r="C45" s="112"/>
      <c r="D45" s="189"/>
      <c r="E45" s="112"/>
      <c r="F45" s="112"/>
      <c r="G45" s="200"/>
      <c r="H45" s="203"/>
      <c r="I45" s="203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3"/>
      <c r="AG45" s="203"/>
    </row>
    <row r="46" spans="1:35" ht="15" thickBot="1" x14ac:dyDescent="0.35">
      <c r="A46" s="28" t="s">
        <v>355</v>
      </c>
      <c r="B46" s="28"/>
      <c r="C46" s="112">
        <f>SUM(C9:C39)</f>
        <v>0</v>
      </c>
      <c r="D46" s="189">
        <f t="shared" ref="D46:U46" si="1">SUM(D9:D39)</f>
        <v>0</v>
      </c>
      <c r="E46" s="112">
        <f t="shared" si="1"/>
        <v>0</v>
      </c>
      <c r="F46" s="112">
        <f t="shared" si="1"/>
        <v>0</v>
      </c>
      <c r="G46" s="200">
        <f t="shared" si="1"/>
        <v>0</v>
      </c>
      <c r="H46" s="200">
        <f t="shared" si="1"/>
        <v>0</v>
      </c>
      <c r="I46" s="200">
        <f t="shared" si="1"/>
        <v>0</v>
      </c>
      <c r="J46" s="200">
        <f t="shared" si="1"/>
        <v>0</v>
      </c>
      <c r="K46" s="200">
        <f t="shared" si="1"/>
        <v>0</v>
      </c>
      <c r="L46" s="200">
        <f t="shared" si="1"/>
        <v>0</v>
      </c>
      <c r="M46" s="200">
        <f t="shared" si="1"/>
        <v>0</v>
      </c>
      <c r="N46" s="200">
        <f t="shared" si="1"/>
        <v>0</v>
      </c>
      <c r="O46" s="200">
        <f t="shared" si="1"/>
        <v>0</v>
      </c>
      <c r="P46" s="200">
        <f t="shared" si="1"/>
        <v>0</v>
      </c>
      <c r="Q46" s="200">
        <f t="shared" si="1"/>
        <v>0</v>
      </c>
      <c r="R46" s="200">
        <f t="shared" si="1"/>
        <v>0</v>
      </c>
      <c r="S46" s="200">
        <f t="shared" si="1"/>
        <v>0</v>
      </c>
      <c r="T46" s="200">
        <f t="shared" si="1"/>
        <v>0</v>
      </c>
      <c r="U46" s="330">
        <f t="shared" si="1"/>
        <v>14413.11</v>
      </c>
      <c r="V46" s="207"/>
      <c r="W46" s="206"/>
      <c r="X46" s="206"/>
      <c r="Y46" s="206"/>
      <c r="Z46" s="206"/>
      <c r="AA46" s="206"/>
      <c r="AB46" s="206"/>
      <c r="AC46" s="206"/>
      <c r="AD46" s="206"/>
      <c r="AE46" s="206"/>
      <c r="AF46" s="208"/>
      <c r="AG46" s="208"/>
    </row>
    <row r="47" spans="1:35" x14ac:dyDescent="0.3">
      <c r="F47" s="46"/>
      <c r="G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30"/>
      <c r="AG47" s="30"/>
    </row>
    <row r="48" spans="1:35" x14ac:dyDescent="0.3">
      <c r="F48" s="46"/>
      <c r="G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30"/>
      <c r="AG48" s="30"/>
    </row>
    <row r="49" spans="6:33" x14ac:dyDescent="0.3">
      <c r="F49" s="46"/>
      <c r="G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30"/>
      <c r="AG49" s="30"/>
    </row>
    <row r="50" spans="6:33" x14ac:dyDescent="0.3">
      <c r="F50" s="46"/>
      <c r="G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30"/>
      <c r="AG50" s="30"/>
    </row>
    <row r="51" spans="6:33" x14ac:dyDescent="0.3">
      <c r="F51" s="46"/>
      <c r="G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30"/>
      <c r="AG51" s="30"/>
    </row>
    <row r="52" spans="6:33" x14ac:dyDescent="0.3">
      <c r="F52" s="46"/>
      <c r="G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30"/>
      <c r="AG52" s="30"/>
    </row>
    <row r="53" spans="6:33" x14ac:dyDescent="0.3">
      <c r="F53" s="46"/>
      <c r="G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30"/>
      <c r="AG53" s="30"/>
    </row>
    <row r="54" spans="6:33" x14ac:dyDescent="0.3">
      <c r="F54" s="46"/>
      <c r="G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30"/>
      <c r="AG54" s="30"/>
    </row>
    <row r="55" spans="6:33" x14ac:dyDescent="0.3">
      <c r="F55" s="46"/>
      <c r="G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30"/>
      <c r="AG55" s="30"/>
    </row>
    <row r="56" spans="6:33" x14ac:dyDescent="0.3">
      <c r="F56" s="46"/>
      <c r="G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30"/>
      <c r="AG56" s="30"/>
    </row>
    <row r="57" spans="6:33" x14ac:dyDescent="0.3">
      <c r="F57" s="46"/>
      <c r="G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30"/>
      <c r="AG57" s="30"/>
    </row>
    <row r="58" spans="6:33" x14ac:dyDescent="0.3">
      <c r="F58" s="46"/>
      <c r="G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30"/>
      <c r="AG58" s="30"/>
    </row>
    <row r="59" spans="6:33" x14ac:dyDescent="0.3">
      <c r="F59" s="46"/>
      <c r="G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30"/>
      <c r="AG59" s="30"/>
    </row>
    <row r="60" spans="6:33" x14ac:dyDescent="0.3">
      <c r="F60" s="46"/>
      <c r="G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6:33" x14ac:dyDescent="0.3">
      <c r="F61" s="46"/>
      <c r="G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  <row r="62" spans="6:33" x14ac:dyDescent="0.3">
      <c r="F62" s="46"/>
      <c r="G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</row>
    <row r="63" spans="6:33" x14ac:dyDescent="0.3"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</row>
    <row r="64" spans="6:33" x14ac:dyDescent="0.3"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</row>
    <row r="65" spans="10:31" x14ac:dyDescent="0.3"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</row>
    <row r="66" spans="10:31" x14ac:dyDescent="0.3"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10:31" x14ac:dyDescent="0.3"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</row>
    <row r="68" spans="10:31" x14ac:dyDescent="0.3"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10:31" x14ac:dyDescent="0.3"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</row>
    <row r="70" spans="10:31" x14ac:dyDescent="0.3"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</row>
    <row r="71" spans="10:31" x14ac:dyDescent="0.3"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</row>
    <row r="72" spans="10:31" x14ac:dyDescent="0.3"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</row>
    <row r="73" spans="10:31" x14ac:dyDescent="0.3"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</row>
    <row r="74" spans="10:31" x14ac:dyDescent="0.3"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</row>
    <row r="75" spans="10:31" x14ac:dyDescent="0.3"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</row>
    <row r="76" spans="10:31" x14ac:dyDescent="0.3"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</row>
    <row r="77" spans="10:31" x14ac:dyDescent="0.3"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</row>
    <row r="78" spans="10:31" x14ac:dyDescent="0.3"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</row>
    <row r="79" spans="10:31" x14ac:dyDescent="0.3"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</row>
    <row r="80" spans="10:31" x14ac:dyDescent="0.3"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</row>
  </sheetData>
  <sortState xmlns:xlrd2="http://schemas.microsoft.com/office/spreadsheetml/2017/richdata2" ref="A9:AG40">
    <sortCondition ref="A9:A40"/>
  </sortState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320C9-DBBD-4EAE-92A8-7A5AD5BE9A9D}">
  <sheetPr codeName="Sheet9">
    <tabColor theme="2"/>
  </sheetPr>
  <dimension ref="A1:V15"/>
  <sheetViews>
    <sheetView workbookViewId="0">
      <selection activeCell="Q12" sqref="Q12"/>
    </sheetView>
  </sheetViews>
  <sheetFormatPr defaultRowHeight="14.4" x14ac:dyDescent="0.3"/>
  <cols>
    <col min="2" max="2" width="43" customWidth="1"/>
    <col min="3" max="3" width="20.5546875" customWidth="1"/>
    <col min="4" max="4" width="13" customWidth="1"/>
    <col min="5" max="5" width="13.33203125" customWidth="1"/>
    <col min="6" max="6" width="11.6640625" bestFit="1" customWidth="1"/>
    <col min="7" max="7" width="13.33203125" customWidth="1"/>
    <col min="9" max="9" width="12" customWidth="1"/>
    <col min="10" max="10" width="14.33203125" customWidth="1"/>
    <col min="16" max="16" width="10.33203125" bestFit="1" customWidth="1"/>
  </cols>
  <sheetData>
    <row r="1" spans="1:22" s="45" customFormat="1" ht="21" x14ac:dyDescent="0.4">
      <c r="A1" s="47" t="s">
        <v>0</v>
      </c>
      <c r="B1" s="53"/>
      <c r="C1" s="48" t="s">
        <v>657</v>
      </c>
      <c r="D1" s="48"/>
      <c r="E1" s="47"/>
      <c r="F1" s="49"/>
      <c r="G1" s="48" t="str">
        <f>C1</f>
        <v>Project Aware</v>
      </c>
      <c r="H1" s="53"/>
      <c r="I1" s="48"/>
      <c r="J1" s="53"/>
      <c r="K1" s="48" t="str">
        <f>$C$1</f>
        <v>Project Aware</v>
      </c>
      <c r="L1" s="53"/>
      <c r="M1" s="48"/>
      <c r="N1" s="53"/>
      <c r="O1" s="53"/>
      <c r="P1" s="53"/>
      <c r="Q1" s="48" t="str">
        <f>$C$1</f>
        <v>Project Aware</v>
      </c>
      <c r="R1" s="53"/>
      <c r="S1" s="48"/>
      <c r="T1" s="53"/>
      <c r="U1" s="47"/>
    </row>
    <row r="2" spans="1:22" s="45" customFormat="1" ht="21" x14ac:dyDescent="0.4">
      <c r="A2" s="47" t="s">
        <v>147</v>
      </c>
      <c r="B2" s="49"/>
      <c r="C2" s="48" t="s">
        <v>658</v>
      </c>
      <c r="D2" s="48"/>
      <c r="E2" s="49"/>
      <c r="F2" s="49"/>
      <c r="G2" s="67" t="s">
        <v>660</v>
      </c>
      <c r="H2" s="53"/>
      <c r="I2" s="56"/>
      <c r="J2" s="53"/>
      <c r="K2" s="51" t="str">
        <f>"FY"&amp;$C$4</f>
        <v>FYSeptember 30, 2020 - September 30, 2021</v>
      </c>
      <c r="L2" s="53"/>
      <c r="M2" s="51"/>
      <c r="N2" s="53"/>
      <c r="O2" s="53"/>
      <c r="P2" s="53"/>
      <c r="Q2" s="51" t="str">
        <f>"FY"&amp;$C$4</f>
        <v>FYSeptember 30, 2020 - September 30, 2021</v>
      </c>
      <c r="R2" s="53"/>
      <c r="S2" s="51"/>
      <c r="T2" s="53"/>
      <c r="U2" s="47"/>
    </row>
    <row r="3" spans="1:22" s="45" customFormat="1" ht="15.6" x14ac:dyDescent="0.3">
      <c r="A3" s="50" t="s">
        <v>1</v>
      </c>
      <c r="B3" s="53"/>
      <c r="C3" s="51">
        <v>7243</v>
      </c>
      <c r="D3" s="51"/>
      <c r="E3" s="50"/>
      <c r="F3" s="19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4"/>
    </row>
    <row r="4" spans="1:22" s="45" customFormat="1" ht="15.6" x14ac:dyDescent="0.3">
      <c r="A4" s="50" t="s">
        <v>659</v>
      </c>
      <c r="B4" s="53"/>
      <c r="C4" s="67" t="s">
        <v>660</v>
      </c>
      <c r="D4" s="51"/>
      <c r="E4" s="19"/>
      <c r="F4" s="1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2" s="45" customFormat="1" ht="15.6" x14ac:dyDescent="0.3">
      <c r="A5" s="50" t="s">
        <v>467</v>
      </c>
      <c r="B5" s="53"/>
      <c r="C5" s="383" t="s">
        <v>678</v>
      </c>
      <c r="D5" s="50"/>
      <c r="E5" s="19"/>
      <c r="F5" s="19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2"/>
    </row>
    <row r="6" spans="1:22" s="45" customFormat="1" ht="15.6" x14ac:dyDescent="0.3">
      <c r="A6" s="50"/>
      <c r="B6" s="53"/>
      <c r="C6" s="67"/>
      <c r="D6" s="51"/>
      <c r="E6" s="19"/>
      <c r="F6" s="19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2"/>
    </row>
    <row r="7" spans="1:22" s="45" customFormat="1" ht="15" thickBot="1" x14ac:dyDescent="0.35">
      <c r="A7" s="18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2"/>
    </row>
    <row r="8" spans="1:22" s="45" customFormat="1" ht="43.8" thickBot="1" x14ac:dyDescent="0.35">
      <c r="A8" s="11" t="s">
        <v>138</v>
      </c>
      <c r="B8" s="12" t="s">
        <v>132</v>
      </c>
      <c r="C8" s="12" t="s">
        <v>15</v>
      </c>
      <c r="D8" s="55" t="s">
        <v>140</v>
      </c>
      <c r="E8" s="12" t="s">
        <v>16</v>
      </c>
      <c r="F8" s="25" t="s">
        <v>17</v>
      </c>
      <c r="G8" s="26" t="s">
        <v>240</v>
      </c>
      <c r="H8" s="27" t="s">
        <v>400</v>
      </c>
      <c r="I8" s="26" t="s">
        <v>401</v>
      </c>
      <c r="J8" s="27" t="s">
        <v>466</v>
      </c>
      <c r="K8" s="27" t="s">
        <v>496</v>
      </c>
      <c r="L8" s="27" t="s">
        <v>497</v>
      </c>
      <c r="M8" s="27" t="s">
        <v>498</v>
      </c>
      <c r="N8" s="27" t="s">
        <v>499</v>
      </c>
      <c r="O8" s="27" t="s">
        <v>500</v>
      </c>
      <c r="P8" s="27" t="s">
        <v>501</v>
      </c>
      <c r="Q8" s="26" t="s">
        <v>502</v>
      </c>
      <c r="R8" s="27" t="s">
        <v>503</v>
      </c>
      <c r="S8" s="27" t="s">
        <v>504</v>
      </c>
      <c r="T8" s="12" t="s">
        <v>157</v>
      </c>
      <c r="U8" s="12" t="s">
        <v>158</v>
      </c>
    </row>
    <row r="9" spans="1:22" s="45" customFormat="1" ht="15" thickBot="1" x14ac:dyDescent="0.35">
      <c r="A9" s="137">
        <v>140</v>
      </c>
      <c r="B9" s="115" t="s">
        <v>656</v>
      </c>
      <c r="C9" s="233">
        <v>390000</v>
      </c>
      <c r="D9" s="228">
        <f>SUM(C9:C9)</f>
        <v>390000</v>
      </c>
      <c r="E9" s="234">
        <f>SUM(G9:T9)</f>
        <v>58357.219999999994</v>
      </c>
      <c r="F9" s="234">
        <f>C9-E9</f>
        <v>331642.78000000003</v>
      </c>
      <c r="G9" s="214"/>
      <c r="H9" s="214"/>
      <c r="I9" s="214"/>
      <c r="J9" s="214"/>
      <c r="K9" s="214"/>
      <c r="L9" s="346"/>
      <c r="M9" s="214">
        <v>10402.56</v>
      </c>
      <c r="N9" s="214">
        <v>11667.11</v>
      </c>
      <c r="O9" s="214">
        <v>11789.45</v>
      </c>
      <c r="P9" s="214">
        <v>24498.1</v>
      </c>
      <c r="Q9" s="214"/>
      <c r="R9" s="214"/>
      <c r="S9" s="214"/>
      <c r="T9" s="214"/>
      <c r="U9" s="215"/>
      <c r="V9" s="6"/>
    </row>
    <row r="10" spans="1:22" s="45" customFormat="1" ht="15" thickBot="1" x14ac:dyDescent="0.35">
      <c r="A10" s="137">
        <v>220</v>
      </c>
      <c r="B10" s="114" t="s">
        <v>661</v>
      </c>
      <c r="C10" s="230">
        <v>180000</v>
      </c>
      <c r="D10" s="228">
        <f>SUM(C10:C10)</f>
        <v>180000</v>
      </c>
      <c r="E10" s="234">
        <f>SUM(G10:T10)</f>
        <v>0</v>
      </c>
      <c r="F10" s="234">
        <f>C10-E10</f>
        <v>180000</v>
      </c>
      <c r="G10" s="214"/>
      <c r="H10" s="214"/>
      <c r="I10" s="214"/>
      <c r="J10" s="214"/>
      <c r="K10" s="214"/>
      <c r="L10" s="214"/>
      <c r="M10" s="214"/>
      <c r="N10" s="214"/>
      <c r="O10" s="214"/>
      <c r="Q10" s="214"/>
      <c r="R10" s="214"/>
      <c r="S10" s="214"/>
      <c r="T10" s="214"/>
      <c r="U10" s="215"/>
      <c r="V10" s="6"/>
    </row>
    <row r="11" spans="1:22" s="45" customFormat="1" ht="15" thickBot="1" x14ac:dyDescent="0.35">
      <c r="A11" s="137">
        <v>1040</v>
      </c>
      <c r="B11" s="114" t="s">
        <v>662</v>
      </c>
      <c r="C11" s="230">
        <v>390000</v>
      </c>
      <c r="D11" s="228">
        <f>SUM(C11:C11)</f>
        <v>390000</v>
      </c>
      <c r="E11" s="234">
        <f>SUM(G11:T11)</f>
        <v>22165.559999999998</v>
      </c>
      <c r="F11" s="234">
        <f>C11-E11</f>
        <v>367834.44</v>
      </c>
      <c r="G11" s="214"/>
      <c r="H11" s="214"/>
      <c r="I11" s="214"/>
      <c r="J11" s="214"/>
      <c r="K11" s="214"/>
      <c r="L11" s="214"/>
      <c r="M11" s="214"/>
      <c r="N11" s="214"/>
      <c r="O11" s="214">
        <v>9572.98</v>
      </c>
      <c r="P11" s="214">
        <v>6399.23</v>
      </c>
      <c r="Q11" s="214">
        <v>6193.35</v>
      </c>
      <c r="R11" s="214"/>
      <c r="S11" s="214"/>
      <c r="T11" s="214"/>
      <c r="U11" s="215"/>
      <c r="V11" s="6"/>
    </row>
    <row r="12" spans="1:22" s="45" customFormat="1" ht="15" thickBot="1" x14ac:dyDescent="0.35">
      <c r="A12" s="137">
        <v>1540</v>
      </c>
      <c r="B12" s="114" t="s">
        <v>663</v>
      </c>
      <c r="C12" s="230">
        <v>180000</v>
      </c>
      <c r="D12" s="228">
        <f>SUM(C12:C12)</f>
        <v>180000</v>
      </c>
      <c r="E12" s="234">
        <f>SUM(G12:T12)</f>
        <v>0</v>
      </c>
      <c r="F12" s="234">
        <f>C12-E12</f>
        <v>180000</v>
      </c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5"/>
      <c r="V12" s="6"/>
    </row>
    <row r="13" spans="1:22" s="17" customFormat="1" ht="15" thickBot="1" x14ac:dyDescent="0.35">
      <c r="A13" s="168"/>
      <c r="B13" s="169"/>
      <c r="C13" s="236"/>
      <c r="D13" s="237"/>
      <c r="E13" s="238"/>
      <c r="F13" s="238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39"/>
    </row>
    <row r="14" spans="1:22" s="24" customFormat="1" ht="15" thickBot="1" x14ac:dyDescent="0.35">
      <c r="A14" s="111" t="s">
        <v>46</v>
      </c>
      <c r="B14" s="20"/>
      <c r="C14" s="211">
        <f>SUM(C9:C13)</f>
        <v>1140000</v>
      </c>
      <c r="D14" s="240">
        <f>SUM(D9:D12)</f>
        <v>1140000</v>
      </c>
      <c r="E14" s="211">
        <f>SUM(E9:E12)</f>
        <v>80522.78</v>
      </c>
      <c r="F14" s="211">
        <f t="shared" ref="F14:U14" si="0">SUM(F9:F13)</f>
        <v>1059477.22</v>
      </c>
      <c r="G14" s="211">
        <f t="shared" si="0"/>
        <v>0</v>
      </c>
      <c r="H14" s="211">
        <f t="shared" si="0"/>
        <v>0</v>
      </c>
      <c r="I14" s="211">
        <f t="shared" si="0"/>
        <v>0</v>
      </c>
      <c r="J14" s="211">
        <f t="shared" si="0"/>
        <v>0</v>
      </c>
      <c r="K14" s="211">
        <f t="shared" si="0"/>
        <v>0</v>
      </c>
      <c r="L14" s="211">
        <f t="shared" si="0"/>
        <v>0</v>
      </c>
      <c r="M14" s="211">
        <f t="shared" si="0"/>
        <v>10402.56</v>
      </c>
      <c r="N14" s="211">
        <f t="shared" si="0"/>
        <v>11667.11</v>
      </c>
      <c r="O14" s="211">
        <f t="shared" si="0"/>
        <v>21362.43</v>
      </c>
      <c r="P14" s="211">
        <f t="shared" si="0"/>
        <v>30897.329999999998</v>
      </c>
      <c r="Q14" s="211">
        <f t="shared" si="0"/>
        <v>6193.35</v>
      </c>
      <c r="R14" s="211">
        <f t="shared" si="0"/>
        <v>0</v>
      </c>
      <c r="S14" s="211">
        <f t="shared" si="0"/>
        <v>0</v>
      </c>
      <c r="T14" s="211">
        <f t="shared" si="0"/>
        <v>0</v>
      </c>
      <c r="U14" s="211">
        <f t="shared" si="0"/>
        <v>0</v>
      </c>
      <c r="V14" s="224"/>
    </row>
    <row r="15" spans="1:22" x14ac:dyDescent="0.3">
      <c r="E15" t="s">
        <v>680</v>
      </c>
    </row>
  </sheetData>
  <hyperlinks>
    <hyperlink ref="C5" r:id="rId1" xr:uid="{FAB4CC4C-100E-4995-96BF-D6040C4C5C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7">
    <tabColor theme="2"/>
  </sheetPr>
  <dimension ref="A1:AR71"/>
  <sheetViews>
    <sheetView zoomScale="69" zoomScaleNormal="69" workbookViewId="0">
      <pane xSplit="9" ySplit="8" topLeftCell="T18" activePane="bottomRight" state="frozen"/>
      <selection activeCell="A8" sqref="A8:XFD8"/>
      <selection pane="topRight" activeCell="A8" sqref="A8:XFD8"/>
      <selection pane="bottomLeft" activeCell="A8" sqref="A8:XFD8"/>
      <selection pane="bottomRight" activeCell="U20" sqref="U20"/>
    </sheetView>
  </sheetViews>
  <sheetFormatPr defaultColWidth="0" defaultRowHeight="14.4" x14ac:dyDescent="0.3"/>
  <cols>
    <col min="1" max="1" width="8.5546875" style="65" customWidth="1"/>
    <col min="2" max="2" width="34.44140625" style="44" customWidth="1"/>
    <col min="3" max="3" width="11.44140625" style="65" customWidth="1"/>
    <col min="4" max="4" width="30.5546875" style="44" customWidth="1"/>
    <col min="5" max="5" width="20" style="45" bestFit="1" customWidth="1"/>
    <col min="6" max="7" width="20" style="45" customWidth="1"/>
    <col min="8" max="8" width="21.44140625" style="45" bestFit="1" customWidth="1"/>
    <col min="9" max="9" width="19.44140625" style="45" bestFit="1" customWidth="1"/>
    <col min="10" max="12" width="15.5546875" style="44" customWidth="1"/>
    <col min="13" max="13" width="19.5546875" style="44" bestFit="1" customWidth="1"/>
    <col min="14" max="14" width="21.44140625" style="44" bestFit="1" customWidth="1"/>
    <col min="15" max="15" width="15.5546875" style="44" customWidth="1"/>
    <col min="16" max="16" width="19.44140625" style="44" bestFit="1" customWidth="1"/>
    <col min="17" max="17" width="15.5546875" style="44" customWidth="1"/>
    <col min="18" max="18" width="19.44140625" style="44" customWidth="1"/>
    <col min="19" max="19" width="16.5546875" style="44" bestFit="1" customWidth="1"/>
    <col min="20" max="20" width="15.5546875" style="44" customWidth="1"/>
    <col min="21" max="21" width="18.5546875" style="44" customWidth="1"/>
    <col min="22" max="22" width="16.5546875" style="44" bestFit="1" customWidth="1"/>
    <col min="23" max="26" width="15.5546875" style="44" customWidth="1"/>
    <col min="27" max="28" width="21.44140625" style="44" customWidth="1"/>
    <col min="29" max="44" width="0" style="44" hidden="1" customWidth="1"/>
    <col min="45" max="16384" width="8.5546875" style="44" hidden="1"/>
  </cols>
  <sheetData>
    <row r="1" spans="1:29" s="45" customFormat="1" ht="21" x14ac:dyDescent="0.4">
      <c r="A1" s="62" t="s">
        <v>0</v>
      </c>
      <c r="B1" s="53"/>
      <c r="C1" s="66" t="s">
        <v>193</v>
      </c>
      <c r="D1" s="50"/>
      <c r="E1" s="50"/>
      <c r="F1" s="50"/>
      <c r="G1" s="50"/>
      <c r="H1" s="50"/>
      <c r="I1" s="54"/>
      <c r="J1" s="53"/>
      <c r="K1" s="48"/>
      <c r="L1" s="66" t="str">
        <f>$C$1</f>
        <v>21st Century Cohort 8</v>
      </c>
      <c r="M1" s="53"/>
      <c r="N1" s="53"/>
      <c r="O1" s="48"/>
      <c r="P1" s="53"/>
      <c r="Q1" s="53"/>
      <c r="R1" s="66" t="str">
        <f>$C$1</f>
        <v>21st Century Cohort 8</v>
      </c>
      <c r="S1" s="48"/>
      <c r="T1" s="48"/>
      <c r="U1" s="53"/>
      <c r="V1" s="48"/>
      <c r="W1" s="53"/>
      <c r="X1" s="53"/>
      <c r="Y1" s="66" t="str">
        <f>$C$1</f>
        <v>21st Century Cohort 8</v>
      </c>
      <c r="Z1" s="53"/>
      <c r="AA1" s="47"/>
      <c r="AB1" s="47"/>
    </row>
    <row r="2" spans="1:29" s="3" customFormat="1" ht="21" x14ac:dyDescent="0.4">
      <c r="A2" s="47" t="s">
        <v>147</v>
      </c>
      <c r="B2" s="49"/>
      <c r="C2" s="62" t="s">
        <v>426</v>
      </c>
      <c r="D2" s="48"/>
      <c r="E2" s="48"/>
      <c r="F2" s="48"/>
      <c r="G2" s="48"/>
      <c r="H2" s="48"/>
      <c r="I2" s="15"/>
      <c r="J2" s="49"/>
      <c r="K2" s="49"/>
      <c r="L2" s="50" t="str">
        <f>"FY"&amp;$C$4</f>
        <v>FY2020-21</v>
      </c>
      <c r="M2" s="49"/>
      <c r="N2" s="49"/>
      <c r="O2" s="49"/>
      <c r="P2" s="49"/>
      <c r="Q2" s="49"/>
      <c r="R2" s="50" t="str">
        <f>"FY"&amp;$C$4</f>
        <v>FY2020-21</v>
      </c>
      <c r="S2" s="49"/>
      <c r="T2" s="49"/>
      <c r="U2" s="49"/>
      <c r="V2" s="49"/>
      <c r="W2" s="49"/>
      <c r="X2" s="49"/>
      <c r="Y2" s="50" t="str">
        <f>"FY"&amp;$C$4</f>
        <v>FY2020-21</v>
      </c>
      <c r="Z2" s="49"/>
      <c r="AA2" s="47"/>
      <c r="AB2" s="47"/>
    </row>
    <row r="3" spans="1:29" s="45" customFormat="1" ht="15.6" x14ac:dyDescent="0.3">
      <c r="A3" s="63" t="s">
        <v>1</v>
      </c>
      <c r="B3" s="53"/>
      <c r="C3" s="67" t="s">
        <v>425</v>
      </c>
      <c r="D3" s="50"/>
      <c r="E3" s="50"/>
      <c r="F3" s="50"/>
      <c r="G3" s="50"/>
      <c r="H3" s="50"/>
      <c r="I3" s="54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54"/>
    </row>
    <row r="4" spans="1:29" s="45" customFormat="1" ht="15.6" x14ac:dyDescent="0.3">
      <c r="A4" s="63" t="s">
        <v>2</v>
      </c>
      <c r="B4" s="53"/>
      <c r="C4" s="67" t="s">
        <v>495</v>
      </c>
      <c r="D4" s="50"/>
      <c r="E4" s="50"/>
      <c r="F4" s="50"/>
      <c r="G4" s="50"/>
      <c r="H4" s="50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</row>
    <row r="5" spans="1:29" s="45" customFormat="1" ht="15.6" x14ac:dyDescent="0.3">
      <c r="A5" s="63" t="s">
        <v>469</v>
      </c>
      <c r="B5" s="53"/>
      <c r="C5" s="383" t="s">
        <v>678</v>
      </c>
      <c r="D5" s="50"/>
      <c r="E5" s="50"/>
      <c r="F5" s="50"/>
      <c r="G5" s="50"/>
      <c r="H5" s="50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2"/>
      <c r="AB5" s="52"/>
    </row>
    <row r="6" spans="1:29" s="45" customFormat="1" ht="15.6" x14ac:dyDescent="0.3">
      <c r="A6" s="63"/>
      <c r="B6" s="53"/>
      <c r="C6" s="50"/>
      <c r="D6" s="50"/>
      <c r="E6" s="50"/>
      <c r="F6" s="50"/>
      <c r="G6" s="50"/>
      <c r="H6" s="50"/>
      <c r="I6" s="52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2"/>
      <c r="AB6" s="52"/>
    </row>
    <row r="7" spans="1:29" s="45" customFormat="1" ht="24" thickBot="1" x14ac:dyDescent="0.5">
      <c r="A7" s="442"/>
      <c r="B7" s="443"/>
      <c r="C7" s="443"/>
      <c r="D7" s="443"/>
      <c r="E7" s="443"/>
      <c r="F7" s="443"/>
      <c r="G7" s="443"/>
      <c r="H7" s="444"/>
      <c r="I7" s="444"/>
      <c r="J7" s="52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2"/>
      <c r="AB7" s="52"/>
    </row>
    <row r="8" spans="1:29" ht="29.4" thickBot="1" x14ac:dyDescent="0.35">
      <c r="A8" s="11" t="s">
        <v>138</v>
      </c>
      <c r="B8" s="12" t="s">
        <v>132</v>
      </c>
      <c r="C8" s="11" t="s">
        <v>145</v>
      </c>
      <c r="D8" s="12" t="s">
        <v>43</v>
      </c>
      <c r="E8" s="13" t="s">
        <v>15</v>
      </c>
      <c r="F8" s="13" t="s">
        <v>511</v>
      </c>
      <c r="G8" s="13" t="s">
        <v>512</v>
      </c>
      <c r="H8" s="12" t="s">
        <v>16</v>
      </c>
      <c r="I8" s="29" t="s">
        <v>17</v>
      </c>
      <c r="J8" s="26" t="s">
        <v>238</v>
      </c>
      <c r="K8" s="27" t="s">
        <v>239</v>
      </c>
      <c r="L8" s="26" t="s">
        <v>240</v>
      </c>
      <c r="M8" s="27" t="s">
        <v>400</v>
      </c>
      <c r="N8" s="197" t="s">
        <v>401</v>
      </c>
      <c r="O8" s="198" t="s">
        <v>466</v>
      </c>
      <c r="P8" s="198" t="s">
        <v>496</v>
      </c>
      <c r="Q8" s="198" t="s">
        <v>497</v>
      </c>
      <c r="R8" s="198" t="s">
        <v>498</v>
      </c>
      <c r="S8" s="198" t="s">
        <v>499</v>
      </c>
      <c r="T8" s="27" t="s">
        <v>500</v>
      </c>
      <c r="U8" s="27" t="s">
        <v>501</v>
      </c>
      <c r="V8" s="26" t="s">
        <v>502</v>
      </c>
      <c r="W8" s="27" t="s">
        <v>503</v>
      </c>
      <c r="X8" s="27" t="s">
        <v>504</v>
      </c>
      <c r="Y8" s="27" t="s">
        <v>505</v>
      </c>
      <c r="Z8" s="26" t="s">
        <v>506</v>
      </c>
      <c r="AA8" s="12" t="s">
        <v>157</v>
      </c>
      <c r="AB8" s="12" t="s">
        <v>158</v>
      </c>
    </row>
    <row r="9" spans="1:29" s="37" customFormat="1" ht="29.1" customHeight="1" thickBot="1" x14ac:dyDescent="0.35">
      <c r="A9" s="96" t="s">
        <v>65</v>
      </c>
      <c r="B9" s="93" t="s">
        <v>165</v>
      </c>
      <c r="C9" s="97" t="s">
        <v>278</v>
      </c>
      <c r="D9" s="93" t="s">
        <v>296</v>
      </c>
      <c r="E9" s="162">
        <v>149790</v>
      </c>
      <c r="F9" s="162">
        <v>16074.56</v>
      </c>
      <c r="G9" s="162">
        <f>SUM(E9:F9)</f>
        <v>165864.56</v>
      </c>
      <c r="H9" s="162">
        <f t="shared" ref="H9:H46" si="0">SUM(J9:Z9)</f>
        <v>96266.98</v>
      </c>
      <c r="I9" s="162">
        <f>G9-H9</f>
        <v>69597.58</v>
      </c>
      <c r="J9" s="332"/>
      <c r="K9" s="333"/>
      <c r="L9" s="333"/>
      <c r="M9" s="196">
        <v>11823.72</v>
      </c>
      <c r="N9" s="246">
        <v>7881.55</v>
      </c>
      <c r="O9" s="246">
        <v>7933.21</v>
      </c>
      <c r="P9" s="246">
        <v>15609.94</v>
      </c>
      <c r="Q9" s="246">
        <v>7881.68</v>
      </c>
      <c r="R9" s="246">
        <v>9500.32</v>
      </c>
      <c r="S9" s="246">
        <v>8971.39</v>
      </c>
      <c r="T9" s="333">
        <v>8747.4</v>
      </c>
      <c r="U9" s="426">
        <v>17917.77</v>
      </c>
      <c r="V9" s="333"/>
      <c r="W9" s="333"/>
      <c r="X9" s="333"/>
      <c r="Y9" s="333"/>
      <c r="Z9" s="333"/>
      <c r="AA9" s="165"/>
      <c r="AB9" s="165"/>
      <c r="AC9" s="44"/>
    </row>
    <row r="10" spans="1:29" s="37" customFormat="1" ht="29.1" customHeight="1" thickBot="1" x14ac:dyDescent="0.35">
      <c r="A10" s="96" t="s">
        <v>65</v>
      </c>
      <c r="B10" s="93" t="s">
        <v>165</v>
      </c>
      <c r="C10" s="92" t="s">
        <v>277</v>
      </c>
      <c r="D10" s="93" t="s">
        <v>295</v>
      </c>
      <c r="E10" s="162">
        <v>142702</v>
      </c>
      <c r="F10" s="162">
        <v>32141.97</v>
      </c>
      <c r="G10" s="162">
        <f t="shared" ref="G10:G46" si="1">SUM(E10:F10)</f>
        <v>174843.97</v>
      </c>
      <c r="H10" s="162">
        <f t="shared" si="0"/>
        <v>93203.35</v>
      </c>
      <c r="I10" s="162">
        <f t="shared" ref="I10:I46" si="2">G10-H10</f>
        <v>81640.62</v>
      </c>
      <c r="J10" s="193"/>
      <c r="K10" s="193"/>
      <c r="L10" s="193"/>
      <c r="M10" s="193">
        <v>8571.2099999999991</v>
      </c>
      <c r="N10" s="246">
        <v>7401.5</v>
      </c>
      <c r="O10" s="246">
        <v>8915.1200000000008</v>
      </c>
      <c r="P10" s="246">
        <v>8564.4</v>
      </c>
      <c r="Q10" s="246">
        <v>6860.79</v>
      </c>
      <c r="R10" s="246">
        <v>10071.790000000001</v>
      </c>
      <c r="S10" s="246">
        <v>9223.5</v>
      </c>
      <c r="T10" s="193">
        <v>14294.91</v>
      </c>
      <c r="U10" s="427">
        <v>19300.13</v>
      </c>
      <c r="V10" s="193"/>
      <c r="W10" s="193"/>
      <c r="X10" s="193"/>
      <c r="Y10" s="193"/>
      <c r="Z10" s="193"/>
      <c r="AA10" s="165"/>
      <c r="AB10" s="165"/>
      <c r="AC10" s="44"/>
    </row>
    <row r="11" spans="1:29" s="37" customFormat="1" ht="29.1" customHeight="1" thickBot="1" x14ac:dyDescent="0.35">
      <c r="A11" s="96" t="s">
        <v>22</v>
      </c>
      <c r="B11" s="93" t="s">
        <v>78</v>
      </c>
      <c r="C11" s="92" t="s">
        <v>676</v>
      </c>
      <c r="D11" s="93" t="s">
        <v>297</v>
      </c>
      <c r="E11" s="162">
        <v>195000</v>
      </c>
      <c r="F11" s="162">
        <v>42702</v>
      </c>
      <c r="G11" s="162">
        <f t="shared" si="1"/>
        <v>237702</v>
      </c>
      <c r="H11" s="162">
        <f t="shared" si="0"/>
        <v>134403.29999999999</v>
      </c>
      <c r="I11" s="162">
        <f t="shared" si="2"/>
        <v>103298.70000000001</v>
      </c>
      <c r="J11" s="164"/>
      <c r="K11" s="164"/>
      <c r="L11" s="164">
        <v>13580.39</v>
      </c>
      <c r="M11" s="164">
        <f>4948.97</f>
        <v>4948.97</v>
      </c>
      <c r="N11" s="247">
        <v>9027.84</v>
      </c>
      <c r="O11" s="247">
        <v>14804.56</v>
      </c>
      <c r="P11" s="247">
        <v>10897.34</v>
      </c>
      <c r="Q11" s="247">
        <v>10914.13</v>
      </c>
      <c r="R11" s="247">
        <v>19481.669999999998</v>
      </c>
      <c r="S11" s="324">
        <v>25700.53</v>
      </c>
      <c r="T11" s="325">
        <v>25047.87</v>
      </c>
      <c r="U11" s="428"/>
      <c r="V11" s="164"/>
      <c r="W11" s="164"/>
      <c r="X11" s="164"/>
      <c r="Y11" s="164"/>
      <c r="Z11" s="164"/>
      <c r="AA11" s="165"/>
      <c r="AB11" s="165"/>
      <c r="AC11" s="44"/>
    </row>
    <row r="12" spans="1:29" s="37" customFormat="1" ht="29.1" customHeight="1" thickBot="1" x14ac:dyDescent="0.35">
      <c r="A12" s="96" t="s">
        <v>23</v>
      </c>
      <c r="B12" s="93" t="s">
        <v>261</v>
      </c>
      <c r="C12" s="92" t="s">
        <v>675</v>
      </c>
      <c r="D12" s="93" t="s">
        <v>298</v>
      </c>
      <c r="E12" s="162">
        <v>150000</v>
      </c>
      <c r="F12" s="162">
        <v>19139</v>
      </c>
      <c r="G12" s="162">
        <f t="shared" si="1"/>
        <v>169139</v>
      </c>
      <c r="H12" s="162">
        <f t="shared" si="0"/>
        <v>100524</v>
      </c>
      <c r="I12" s="162">
        <f t="shared" si="2"/>
        <v>68615</v>
      </c>
      <c r="J12" s="193"/>
      <c r="K12" s="193"/>
      <c r="L12" s="193">
        <v>8471</v>
      </c>
      <c r="M12" s="193">
        <v>5798</v>
      </c>
      <c r="N12" s="246">
        <v>5663</v>
      </c>
      <c r="O12" s="246">
        <v>9681</v>
      </c>
      <c r="P12" s="246">
        <v>17173</v>
      </c>
      <c r="Q12" s="246">
        <v>12866</v>
      </c>
      <c r="R12" s="246">
        <v>12025</v>
      </c>
      <c r="S12" s="334">
        <v>14174</v>
      </c>
      <c r="T12" s="335">
        <v>14673</v>
      </c>
      <c r="U12" s="427"/>
      <c r="V12" s="193"/>
      <c r="W12" s="193"/>
      <c r="X12" s="193"/>
      <c r="Y12" s="193"/>
      <c r="Z12" s="193"/>
      <c r="AA12" s="165"/>
      <c r="AB12" s="165"/>
      <c r="AC12" s="44"/>
    </row>
    <row r="13" spans="1:29" s="37" customFormat="1" ht="29.1" customHeight="1" thickBot="1" x14ac:dyDescent="0.35">
      <c r="A13" s="96" t="s">
        <v>4</v>
      </c>
      <c r="B13" s="93" t="s">
        <v>91</v>
      </c>
      <c r="C13" s="92" t="s">
        <v>279</v>
      </c>
      <c r="D13" s="93" t="s">
        <v>299</v>
      </c>
      <c r="E13" s="162">
        <f>299926-126251</f>
        <v>173675</v>
      </c>
      <c r="F13" s="162">
        <v>70390.87</v>
      </c>
      <c r="G13" s="162">
        <f t="shared" si="1"/>
        <v>244065.87</v>
      </c>
      <c r="H13" s="162">
        <f t="shared" si="0"/>
        <v>100855.98000000001</v>
      </c>
      <c r="I13" s="162">
        <f t="shared" si="2"/>
        <v>143209.88999999998</v>
      </c>
      <c r="J13" s="166"/>
      <c r="K13" s="166"/>
      <c r="L13" s="166"/>
      <c r="M13" s="166">
        <v>1104.4000000000001</v>
      </c>
      <c r="N13" s="246">
        <v>5763.46</v>
      </c>
      <c r="O13" s="246">
        <v>12819.07</v>
      </c>
      <c r="P13" s="246">
        <v>4878.8500000000004</v>
      </c>
      <c r="Q13" s="246">
        <v>23610</v>
      </c>
      <c r="R13" s="246">
        <v>10120.549999999999</v>
      </c>
      <c r="S13" s="334">
        <v>24883.25</v>
      </c>
      <c r="T13" s="335">
        <v>17676.400000000001</v>
      </c>
      <c r="U13" s="429"/>
      <c r="V13" s="166"/>
      <c r="W13" s="166"/>
      <c r="X13" s="166"/>
      <c r="Y13" s="166"/>
      <c r="Z13" s="166"/>
      <c r="AA13" s="165"/>
      <c r="AB13" s="165"/>
      <c r="AC13" s="44"/>
    </row>
    <row r="14" spans="1:29" s="37" customFormat="1" ht="29.1" customHeight="1" thickBot="1" x14ac:dyDescent="0.35">
      <c r="A14" s="96" t="s">
        <v>246</v>
      </c>
      <c r="B14" s="93" t="s">
        <v>262</v>
      </c>
      <c r="C14" s="92" t="s">
        <v>280</v>
      </c>
      <c r="D14" s="93" t="s">
        <v>300</v>
      </c>
      <c r="E14" s="162">
        <v>145200</v>
      </c>
      <c r="F14" s="162">
        <v>8936.33</v>
      </c>
      <c r="G14" s="162">
        <f t="shared" si="1"/>
        <v>154136.32999999999</v>
      </c>
      <c r="H14" s="162">
        <f t="shared" si="0"/>
        <v>79322.2</v>
      </c>
      <c r="I14" s="162">
        <f t="shared" si="2"/>
        <v>74814.12999999999</v>
      </c>
      <c r="J14" s="166"/>
      <c r="K14" s="166"/>
      <c r="L14" s="166"/>
      <c r="M14" s="166">
        <v>26314.01</v>
      </c>
      <c r="N14" s="246"/>
      <c r="O14" s="246">
        <v>17814.47</v>
      </c>
      <c r="P14" s="246"/>
      <c r="Q14" s="246"/>
      <c r="R14" s="246"/>
      <c r="S14" s="334">
        <v>35193.72</v>
      </c>
      <c r="T14" s="335"/>
      <c r="U14" s="429"/>
      <c r="V14" s="166"/>
      <c r="W14" s="166"/>
      <c r="X14" s="166"/>
      <c r="Y14" s="166"/>
      <c r="Z14" s="166"/>
      <c r="AA14" s="165"/>
      <c r="AB14" s="165"/>
      <c r="AC14" s="44"/>
    </row>
    <row r="15" spans="1:29" s="37" customFormat="1" ht="29.1" customHeight="1" thickBot="1" x14ac:dyDescent="0.35">
      <c r="A15" s="96" t="s">
        <v>5</v>
      </c>
      <c r="B15" s="93" t="s">
        <v>166</v>
      </c>
      <c r="C15" s="92" t="s">
        <v>281</v>
      </c>
      <c r="D15" s="93" t="s">
        <v>301</v>
      </c>
      <c r="E15" s="162">
        <v>144577</v>
      </c>
      <c r="F15" s="162">
        <v>12370.96</v>
      </c>
      <c r="G15" s="162">
        <f t="shared" si="1"/>
        <v>156947.96</v>
      </c>
      <c r="H15" s="162">
        <f t="shared" si="0"/>
        <v>120599.26999999999</v>
      </c>
      <c r="I15" s="162">
        <f t="shared" si="2"/>
        <v>36348.69</v>
      </c>
      <c r="J15" s="166"/>
      <c r="K15" s="166"/>
      <c r="L15" s="166"/>
      <c r="M15" s="166">
        <v>50403.91</v>
      </c>
      <c r="N15" s="246"/>
      <c r="O15" s="246">
        <v>18889.560000000001</v>
      </c>
      <c r="P15" s="246">
        <v>9025.3700000000008</v>
      </c>
      <c r="Q15" s="246">
        <v>7430.16</v>
      </c>
      <c r="R15" s="246">
        <v>9586.73</v>
      </c>
      <c r="S15" s="334">
        <v>10585.73</v>
      </c>
      <c r="T15" s="335">
        <v>14677.81</v>
      </c>
      <c r="U15" s="429"/>
      <c r="V15" s="166"/>
      <c r="W15" s="166"/>
      <c r="X15" s="166"/>
      <c r="Y15" s="166"/>
      <c r="Z15" s="166"/>
      <c r="AA15" s="165"/>
      <c r="AB15" s="165"/>
      <c r="AC15" s="44"/>
    </row>
    <row r="16" spans="1:29" s="37" customFormat="1" ht="29.1" customHeight="1" thickBot="1" x14ac:dyDescent="0.35">
      <c r="A16" s="96" t="s">
        <v>51</v>
      </c>
      <c r="B16" s="194" t="s">
        <v>167</v>
      </c>
      <c r="C16" s="92" t="s">
        <v>283</v>
      </c>
      <c r="D16" s="93" t="s">
        <v>303</v>
      </c>
      <c r="E16" s="162">
        <v>150000</v>
      </c>
      <c r="F16" s="162">
        <v>23570</v>
      </c>
      <c r="G16" s="162">
        <f t="shared" si="1"/>
        <v>173570</v>
      </c>
      <c r="H16" s="162">
        <f t="shared" si="0"/>
        <v>0</v>
      </c>
      <c r="I16" s="162">
        <f t="shared" si="2"/>
        <v>173570</v>
      </c>
      <c r="J16" s="193"/>
      <c r="K16" s="193"/>
      <c r="L16" s="193"/>
      <c r="M16" s="193"/>
      <c r="N16" s="246"/>
      <c r="O16" s="246"/>
      <c r="P16" s="246"/>
      <c r="Q16" s="246"/>
      <c r="R16" s="246"/>
      <c r="S16" s="334"/>
      <c r="T16" s="335"/>
      <c r="U16" s="427"/>
      <c r="V16" s="193"/>
      <c r="W16" s="193"/>
      <c r="X16" s="193"/>
      <c r="Y16" s="193"/>
      <c r="Z16" s="193"/>
      <c r="AA16" s="166"/>
      <c r="AB16" s="166"/>
      <c r="AC16" s="44"/>
    </row>
    <row r="17" spans="1:29" s="37" customFormat="1" ht="29.1" customHeight="1" thickBot="1" x14ac:dyDescent="0.35">
      <c r="A17" s="96" t="s">
        <v>51</v>
      </c>
      <c r="B17" s="93" t="s">
        <v>167</v>
      </c>
      <c r="C17" s="95" t="s">
        <v>282</v>
      </c>
      <c r="D17" s="93" t="s">
        <v>302</v>
      </c>
      <c r="E17" s="162">
        <v>600000</v>
      </c>
      <c r="F17" s="162">
        <v>4786.6099999999997</v>
      </c>
      <c r="G17" s="162">
        <f t="shared" si="1"/>
        <v>604786.61</v>
      </c>
      <c r="H17" s="162">
        <f t="shared" si="0"/>
        <v>224260.65</v>
      </c>
      <c r="I17" s="162">
        <f t="shared" si="2"/>
        <v>380525.95999999996</v>
      </c>
      <c r="J17" s="166"/>
      <c r="K17" s="166"/>
      <c r="L17" s="166"/>
      <c r="M17" s="166"/>
      <c r="N17" s="246"/>
      <c r="O17" s="246"/>
      <c r="P17" s="246"/>
      <c r="Q17" s="246"/>
      <c r="R17" s="246">
        <v>224260.65</v>
      </c>
      <c r="S17" s="246"/>
      <c r="T17" s="193"/>
      <c r="U17" s="427"/>
      <c r="V17" s="166"/>
      <c r="W17" s="166"/>
      <c r="X17" s="166"/>
      <c r="Y17" s="166"/>
      <c r="Z17" s="166"/>
      <c r="AA17" s="165"/>
      <c r="AB17" s="165"/>
      <c r="AC17" s="44"/>
    </row>
    <row r="18" spans="1:29" s="37" customFormat="1" ht="29.1" customHeight="1" thickBot="1" x14ac:dyDescent="0.35">
      <c r="A18" s="96" t="s">
        <v>247</v>
      </c>
      <c r="B18" s="93" t="s">
        <v>263</v>
      </c>
      <c r="C18" s="92" t="s">
        <v>674</v>
      </c>
      <c r="D18" s="93" t="s">
        <v>304</v>
      </c>
      <c r="E18" s="162">
        <v>127688</v>
      </c>
      <c r="F18" s="162"/>
      <c r="G18" s="162">
        <f t="shared" si="1"/>
        <v>127688</v>
      </c>
      <c r="H18" s="162">
        <f t="shared" si="0"/>
        <v>99043.180000000008</v>
      </c>
      <c r="I18" s="162">
        <f t="shared" si="2"/>
        <v>28644.819999999992</v>
      </c>
      <c r="J18" s="166"/>
      <c r="K18" s="166"/>
      <c r="L18" s="166"/>
      <c r="M18" s="166"/>
      <c r="N18" s="246"/>
      <c r="O18" s="246"/>
      <c r="P18" s="246"/>
      <c r="Q18" s="246"/>
      <c r="R18" s="246">
        <v>51418.879999999997</v>
      </c>
      <c r="S18" s="246"/>
      <c r="T18" s="193">
        <v>34393.06</v>
      </c>
      <c r="U18" s="429">
        <v>13231.24</v>
      </c>
      <c r="V18" s="166"/>
      <c r="W18" s="166"/>
      <c r="X18" s="166"/>
      <c r="Y18" s="166"/>
      <c r="Z18" s="166"/>
      <c r="AA18" s="165"/>
      <c r="AB18" s="165"/>
      <c r="AC18" s="44"/>
    </row>
    <row r="19" spans="1:29" s="37" customFormat="1" ht="29.1" customHeight="1" thickBot="1" x14ac:dyDescent="0.35">
      <c r="A19" s="96" t="s">
        <v>248</v>
      </c>
      <c r="B19" s="93" t="s">
        <v>264</v>
      </c>
      <c r="C19" s="92" t="s">
        <v>284</v>
      </c>
      <c r="D19" s="93" t="s">
        <v>305</v>
      </c>
      <c r="E19" s="162">
        <v>120596</v>
      </c>
      <c r="F19" s="162">
        <v>0</v>
      </c>
      <c r="G19" s="162">
        <f t="shared" si="1"/>
        <v>120596</v>
      </c>
      <c r="H19" s="162">
        <f t="shared" si="0"/>
        <v>77966.63</v>
      </c>
      <c r="I19" s="162">
        <f t="shared" si="2"/>
        <v>42629.369999999995</v>
      </c>
      <c r="J19" s="166"/>
      <c r="K19" s="166">
        <v>17063.5</v>
      </c>
      <c r="L19" s="166">
        <v>5864.57</v>
      </c>
      <c r="M19" s="166">
        <v>4286.12</v>
      </c>
      <c r="N19" s="246">
        <v>5854.06</v>
      </c>
      <c r="O19" s="246"/>
      <c r="P19" s="246">
        <f>16125.43+2847.28</f>
        <v>18972.71</v>
      </c>
      <c r="Q19" s="246">
        <v>2209.64</v>
      </c>
      <c r="R19" s="246">
        <v>2604.14</v>
      </c>
      <c r="S19" s="334">
        <v>11003.57</v>
      </c>
      <c r="T19" s="335">
        <v>10108.32</v>
      </c>
      <c r="U19" s="430"/>
      <c r="V19" s="336"/>
      <c r="W19" s="166"/>
      <c r="X19" s="166"/>
      <c r="Y19" s="166"/>
      <c r="Z19" s="166"/>
      <c r="AA19" s="165"/>
      <c r="AB19" s="165"/>
      <c r="AC19" s="44"/>
    </row>
    <row r="20" spans="1:29" s="37" customFormat="1" ht="29.1" customHeight="1" thickBot="1" x14ac:dyDescent="0.35">
      <c r="A20" s="96" t="s">
        <v>29</v>
      </c>
      <c r="B20" s="93" t="s">
        <v>80</v>
      </c>
      <c r="C20" s="92" t="s">
        <v>285</v>
      </c>
      <c r="D20" s="194" t="s">
        <v>306</v>
      </c>
      <c r="E20" s="162">
        <v>150000</v>
      </c>
      <c r="F20" s="162">
        <v>12354.55</v>
      </c>
      <c r="G20" s="162">
        <f t="shared" si="1"/>
        <v>162354.54999999999</v>
      </c>
      <c r="H20" s="162">
        <f t="shared" si="0"/>
        <v>92536.459999999992</v>
      </c>
      <c r="I20" s="162">
        <f t="shared" si="2"/>
        <v>69818.09</v>
      </c>
      <c r="J20" s="166"/>
      <c r="K20" s="166"/>
      <c r="L20" s="166"/>
      <c r="M20" s="166">
        <f>9114.82+9310.49</f>
        <v>18425.309999999998</v>
      </c>
      <c r="N20" s="246">
        <v>8696.9599999999991</v>
      </c>
      <c r="O20" s="246">
        <v>8816.07</v>
      </c>
      <c r="P20" s="246">
        <v>8537.7199999999993</v>
      </c>
      <c r="Q20" s="246">
        <v>7965.93</v>
      </c>
      <c r="R20" s="246">
        <v>11303.3</v>
      </c>
      <c r="S20" s="334">
        <v>11533.23</v>
      </c>
      <c r="T20" s="337">
        <v>17257.939999999999</v>
      </c>
      <c r="U20" s="431"/>
      <c r="V20" s="338"/>
      <c r="W20" s="166"/>
      <c r="X20" s="166"/>
      <c r="Y20" s="166"/>
      <c r="Z20" s="166"/>
      <c r="AA20" s="165"/>
      <c r="AB20" s="165"/>
      <c r="AC20" s="44"/>
    </row>
    <row r="21" spans="1:29" s="37" customFormat="1" ht="29.1" customHeight="1" thickBot="1" x14ac:dyDescent="0.35">
      <c r="A21" s="96" t="s">
        <v>29</v>
      </c>
      <c r="B21" s="93" t="s">
        <v>80</v>
      </c>
      <c r="C21" s="92" t="s">
        <v>286</v>
      </c>
      <c r="D21" s="93" t="s">
        <v>307</v>
      </c>
      <c r="E21" s="162">
        <v>300000</v>
      </c>
      <c r="F21" s="162">
        <v>43018.31</v>
      </c>
      <c r="G21" s="162">
        <f t="shared" si="1"/>
        <v>343018.31</v>
      </c>
      <c r="H21" s="162">
        <f t="shared" si="0"/>
        <v>160855.62</v>
      </c>
      <c r="I21" s="162">
        <f t="shared" si="2"/>
        <v>182162.69</v>
      </c>
      <c r="J21" s="166"/>
      <c r="K21" s="166"/>
      <c r="L21" s="166"/>
      <c r="M21" s="166">
        <v>17596.599999999999</v>
      </c>
      <c r="N21" s="246">
        <v>20194.23</v>
      </c>
      <c r="O21" s="246">
        <v>20079.86</v>
      </c>
      <c r="P21" s="339">
        <v>13934.35</v>
      </c>
      <c r="Q21" s="246">
        <v>15529.11</v>
      </c>
      <c r="R21" s="246">
        <v>18575.240000000002</v>
      </c>
      <c r="S21" s="334">
        <v>28957.81</v>
      </c>
      <c r="T21" s="335">
        <v>25988.42</v>
      </c>
      <c r="U21" s="430"/>
      <c r="V21" s="166"/>
      <c r="W21" s="166"/>
      <c r="X21" s="166"/>
      <c r="Y21" s="166"/>
      <c r="Z21" s="166"/>
      <c r="AA21" s="151"/>
      <c r="AB21" s="151"/>
      <c r="AC21" s="121"/>
    </row>
    <row r="22" spans="1:29" s="37" customFormat="1" ht="29.1" customHeight="1" thickBot="1" x14ac:dyDescent="0.35">
      <c r="A22" s="96" t="s">
        <v>34</v>
      </c>
      <c r="B22" s="93" t="s">
        <v>168</v>
      </c>
      <c r="C22" s="92" t="s">
        <v>287</v>
      </c>
      <c r="D22" s="93" t="s">
        <v>308</v>
      </c>
      <c r="E22" s="162">
        <v>136202</v>
      </c>
      <c r="F22" s="162">
        <v>16626.080000000002</v>
      </c>
      <c r="G22" s="162">
        <f t="shared" si="1"/>
        <v>152828.08000000002</v>
      </c>
      <c r="H22" s="162">
        <f t="shared" si="0"/>
        <v>104579.54000000001</v>
      </c>
      <c r="I22" s="162">
        <f t="shared" si="2"/>
        <v>48248.540000000008</v>
      </c>
      <c r="J22" s="166"/>
      <c r="K22" s="166"/>
      <c r="L22" s="166"/>
      <c r="M22" s="166"/>
      <c r="N22" s="246"/>
      <c r="O22" s="246"/>
      <c r="P22" s="246">
        <v>17264.57</v>
      </c>
      <c r="Q22" s="246">
        <v>11042.46</v>
      </c>
      <c r="R22" s="262">
        <v>28267.14</v>
      </c>
      <c r="S22" s="340">
        <v>25540.94</v>
      </c>
      <c r="T22" s="337">
        <v>22464.43</v>
      </c>
      <c r="U22" s="431"/>
      <c r="V22" s="166"/>
      <c r="W22" s="166"/>
      <c r="X22" s="166"/>
      <c r="Y22" s="166"/>
      <c r="Z22" s="166"/>
      <c r="AA22" s="165"/>
      <c r="AB22" s="165"/>
      <c r="AC22" s="44"/>
    </row>
    <row r="23" spans="1:29" s="37" customFormat="1" ht="28.5" customHeight="1" thickBot="1" x14ac:dyDescent="0.35">
      <c r="A23" s="96" t="s">
        <v>53</v>
      </c>
      <c r="B23" s="93" t="s">
        <v>55</v>
      </c>
      <c r="C23" s="92" t="s">
        <v>288</v>
      </c>
      <c r="D23" s="93" t="s">
        <v>309</v>
      </c>
      <c r="E23" s="162">
        <f>427096-52992</f>
        <v>374104</v>
      </c>
      <c r="F23" s="162">
        <v>44289</v>
      </c>
      <c r="G23" s="162">
        <f t="shared" si="1"/>
        <v>418393</v>
      </c>
      <c r="H23" s="162">
        <f t="shared" si="0"/>
        <v>172014.59</v>
      </c>
      <c r="I23" s="162">
        <f t="shared" si="2"/>
        <v>246378.41</v>
      </c>
      <c r="J23" s="166"/>
      <c r="K23" s="166"/>
      <c r="L23" s="166"/>
      <c r="M23" s="166">
        <v>23853.200000000001</v>
      </c>
      <c r="N23" s="246"/>
      <c r="O23" s="246"/>
      <c r="P23" s="246">
        <v>46236.79</v>
      </c>
      <c r="Q23" s="246"/>
      <c r="R23" s="246"/>
      <c r="S23" s="334">
        <v>39719.360000000001</v>
      </c>
      <c r="T23" s="337"/>
      <c r="U23" s="427">
        <v>62205.24</v>
      </c>
      <c r="V23" s="166"/>
      <c r="W23" s="166"/>
      <c r="X23" s="166"/>
      <c r="Y23" s="166"/>
      <c r="Z23" s="166"/>
      <c r="AA23" s="165"/>
      <c r="AB23" s="165"/>
      <c r="AC23" s="44"/>
    </row>
    <row r="24" spans="1:29" s="37" customFormat="1" ht="29.1" customHeight="1" thickBot="1" x14ac:dyDescent="0.35">
      <c r="A24" s="96" t="s">
        <v>249</v>
      </c>
      <c r="B24" s="93" t="s">
        <v>265</v>
      </c>
      <c r="C24" s="92" t="s">
        <v>289</v>
      </c>
      <c r="D24" s="93" t="s">
        <v>310</v>
      </c>
      <c r="E24" s="162">
        <v>149483</v>
      </c>
      <c r="F24" s="162">
        <v>17351.71</v>
      </c>
      <c r="G24" s="162">
        <f t="shared" si="1"/>
        <v>166834.71</v>
      </c>
      <c r="H24" s="162">
        <f t="shared" si="0"/>
        <v>78822</v>
      </c>
      <c r="I24" s="162">
        <f t="shared" si="2"/>
        <v>88012.709999999992</v>
      </c>
      <c r="J24" s="166"/>
      <c r="K24" s="166"/>
      <c r="L24" s="166"/>
      <c r="M24" s="166"/>
      <c r="N24" s="246">
        <f>17352+7266</f>
        <v>24618</v>
      </c>
      <c r="O24" s="246"/>
      <c r="P24" s="246">
        <v>25540</v>
      </c>
      <c r="Q24" s="246"/>
      <c r="R24" s="246">
        <v>15851</v>
      </c>
      <c r="S24" s="246">
        <v>12813</v>
      </c>
      <c r="T24" s="166"/>
      <c r="U24" s="429"/>
      <c r="V24" s="166"/>
      <c r="W24" s="166"/>
      <c r="X24" s="166"/>
      <c r="Y24" s="166"/>
      <c r="Z24" s="166"/>
      <c r="AA24" s="165"/>
      <c r="AB24" s="165"/>
      <c r="AC24" s="44"/>
    </row>
    <row r="25" spans="1:29" s="37" customFormat="1" ht="29.1" customHeight="1" thickBot="1" x14ac:dyDescent="0.35">
      <c r="A25" s="96" t="s">
        <v>250</v>
      </c>
      <c r="B25" s="93" t="s">
        <v>266</v>
      </c>
      <c r="C25" s="92" t="s">
        <v>290</v>
      </c>
      <c r="D25" s="93" t="s">
        <v>311</v>
      </c>
      <c r="E25" s="162">
        <v>108475</v>
      </c>
      <c r="F25" s="162">
        <v>4577.99</v>
      </c>
      <c r="G25" s="162">
        <f t="shared" si="1"/>
        <v>113052.99</v>
      </c>
      <c r="H25" s="162">
        <f t="shared" si="0"/>
        <v>0</v>
      </c>
      <c r="I25" s="162">
        <f t="shared" si="2"/>
        <v>113052.99</v>
      </c>
      <c r="J25" s="166"/>
      <c r="K25" s="166"/>
      <c r="L25" s="166"/>
      <c r="M25" s="166"/>
      <c r="N25" s="246"/>
      <c r="O25" s="246"/>
      <c r="P25" s="246"/>
      <c r="Q25" s="246"/>
      <c r="R25" s="246"/>
      <c r="S25" s="246"/>
      <c r="T25" s="193"/>
      <c r="U25" s="429"/>
      <c r="V25" s="166"/>
      <c r="W25" s="166"/>
      <c r="X25" s="166"/>
      <c r="Y25" s="166"/>
      <c r="Z25" s="166"/>
      <c r="AA25" s="165"/>
      <c r="AB25" s="165"/>
      <c r="AC25" s="44"/>
    </row>
    <row r="26" spans="1:29" s="37" customFormat="1" ht="29.1" customHeight="1" thickBot="1" x14ac:dyDescent="0.35">
      <c r="A26" s="96" t="s">
        <v>82</v>
      </c>
      <c r="B26" s="93" t="s">
        <v>83</v>
      </c>
      <c r="C26" s="92" t="s">
        <v>291</v>
      </c>
      <c r="D26" s="93" t="s">
        <v>312</v>
      </c>
      <c r="E26" s="162">
        <v>150000</v>
      </c>
      <c r="F26" s="162">
        <v>26139</v>
      </c>
      <c r="G26" s="162">
        <f t="shared" si="1"/>
        <v>176139</v>
      </c>
      <c r="H26" s="162">
        <f t="shared" si="0"/>
        <v>81228.650000000009</v>
      </c>
      <c r="I26" s="162">
        <f t="shared" si="2"/>
        <v>94910.349999999991</v>
      </c>
      <c r="J26" s="166"/>
      <c r="K26" s="166"/>
      <c r="L26" s="166"/>
      <c r="M26" s="166"/>
      <c r="N26" s="246"/>
      <c r="O26" s="246"/>
      <c r="P26" s="246"/>
      <c r="Q26" s="246">
        <v>31803.3</v>
      </c>
      <c r="R26" s="246">
        <v>5544.14</v>
      </c>
      <c r="S26" s="246">
        <v>12552.29</v>
      </c>
      <c r="T26" s="193">
        <v>14275.12</v>
      </c>
      <c r="U26" s="429">
        <v>17053.8</v>
      </c>
      <c r="V26" s="166"/>
      <c r="W26" s="166"/>
      <c r="X26" s="166"/>
      <c r="Y26" s="166"/>
      <c r="Z26" s="166"/>
      <c r="AA26" s="165"/>
      <c r="AB26" s="165"/>
      <c r="AC26" s="44"/>
    </row>
    <row r="27" spans="1:29" s="37" customFormat="1" ht="29.1" customHeight="1" thickBot="1" x14ac:dyDescent="0.35">
      <c r="A27" s="96" t="s">
        <v>36</v>
      </c>
      <c r="B27" s="93" t="s">
        <v>267</v>
      </c>
      <c r="C27" s="92" t="s">
        <v>292</v>
      </c>
      <c r="D27" s="93" t="s">
        <v>313</v>
      </c>
      <c r="E27" s="162">
        <v>150000</v>
      </c>
      <c r="F27" s="162">
        <v>0</v>
      </c>
      <c r="G27" s="162">
        <f t="shared" si="1"/>
        <v>150000</v>
      </c>
      <c r="H27" s="162">
        <f t="shared" si="0"/>
        <v>21228.11</v>
      </c>
      <c r="I27" s="162">
        <f t="shared" si="2"/>
        <v>128771.89</v>
      </c>
      <c r="J27" s="166"/>
      <c r="K27" s="166"/>
      <c r="L27" s="341"/>
      <c r="M27" s="166"/>
      <c r="N27" s="246">
        <v>21228.11</v>
      </c>
      <c r="O27" s="246"/>
      <c r="P27" s="246"/>
      <c r="Q27" s="246"/>
      <c r="R27" s="246"/>
      <c r="S27" s="246"/>
      <c r="T27" s="166"/>
      <c r="U27" s="429"/>
      <c r="V27" s="166"/>
      <c r="W27" s="166"/>
      <c r="X27" s="166"/>
      <c r="Y27" s="166"/>
      <c r="Z27" s="166"/>
      <c r="AA27" s="165"/>
      <c r="AB27" s="165"/>
      <c r="AC27" s="44"/>
    </row>
    <row r="28" spans="1:29" s="37" customFormat="1" ht="29.1" customHeight="1" thickBot="1" x14ac:dyDescent="0.35">
      <c r="A28" s="96" t="s">
        <v>251</v>
      </c>
      <c r="B28" s="93" t="s">
        <v>268</v>
      </c>
      <c r="C28" s="92" t="s">
        <v>392</v>
      </c>
      <c r="D28" s="93" t="s">
        <v>314</v>
      </c>
      <c r="E28" s="162">
        <v>175000</v>
      </c>
      <c r="F28" s="162">
        <v>22793</v>
      </c>
      <c r="G28" s="162">
        <f t="shared" si="1"/>
        <v>197793</v>
      </c>
      <c r="H28" s="162">
        <f t="shared" si="0"/>
        <v>120534.56</v>
      </c>
      <c r="I28" s="162">
        <f t="shared" si="2"/>
        <v>77258.44</v>
      </c>
      <c r="J28" s="166"/>
      <c r="K28" s="166"/>
      <c r="L28" s="166"/>
      <c r="M28" s="166"/>
      <c r="N28" s="246"/>
      <c r="O28" s="246"/>
      <c r="P28" s="246"/>
      <c r="Q28" s="246"/>
      <c r="R28" s="246">
        <v>120534.56</v>
      </c>
      <c r="S28" s="246"/>
      <c r="T28" s="166"/>
      <c r="U28" s="429"/>
      <c r="V28" s="166"/>
      <c r="W28" s="166"/>
      <c r="X28" s="166"/>
      <c r="Y28" s="166"/>
      <c r="Z28" s="166"/>
      <c r="AA28" s="165"/>
      <c r="AB28" s="165"/>
      <c r="AC28" s="44"/>
    </row>
    <row r="29" spans="1:29" s="37" customFormat="1" ht="29.1" customHeight="1" thickBot="1" x14ac:dyDescent="0.35">
      <c r="A29" s="96" t="s">
        <v>28</v>
      </c>
      <c r="B29" s="93" t="s">
        <v>84</v>
      </c>
      <c r="C29" s="92" t="s">
        <v>293</v>
      </c>
      <c r="D29" s="93" t="s">
        <v>681</v>
      </c>
      <c r="E29" s="162">
        <v>582000</v>
      </c>
      <c r="F29" s="162">
        <v>104200</v>
      </c>
      <c r="G29" s="162">
        <f t="shared" si="1"/>
        <v>686200</v>
      </c>
      <c r="H29" s="162">
        <f t="shared" si="0"/>
        <v>409186.16000000003</v>
      </c>
      <c r="I29" s="162">
        <f t="shared" si="2"/>
        <v>277013.83999999997</v>
      </c>
      <c r="J29" s="166"/>
      <c r="K29" s="166"/>
      <c r="L29" s="166"/>
      <c r="M29" s="166">
        <v>53245.79</v>
      </c>
      <c r="N29" s="262">
        <v>59307.21</v>
      </c>
      <c r="O29" s="246">
        <v>36888.43</v>
      </c>
      <c r="P29" s="246">
        <v>49990.27</v>
      </c>
      <c r="Q29" s="246">
        <v>7062.76</v>
      </c>
      <c r="R29" s="246">
        <v>98016.82</v>
      </c>
      <c r="S29" s="246">
        <v>55201.27</v>
      </c>
      <c r="T29" s="193">
        <v>49473.61</v>
      </c>
      <c r="U29" s="429"/>
      <c r="V29" s="166"/>
      <c r="W29" s="166"/>
      <c r="X29" s="166"/>
      <c r="Y29" s="166"/>
      <c r="Z29" s="166"/>
      <c r="AA29" s="165"/>
      <c r="AB29" s="165"/>
      <c r="AC29" s="44"/>
    </row>
    <row r="30" spans="1:29" s="37" customFormat="1" ht="29.1" customHeight="1" thickBot="1" x14ac:dyDescent="0.35">
      <c r="A30" s="96" t="s">
        <v>54</v>
      </c>
      <c r="B30" s="93" t="s">
        <v>192</v>
      </c>
      <c r="C30" s="92" t="s">
        <v>594</v>
      </c>
      <c r="D30" s="93" t="s">
        <v>315</v>
      </c>
      <c r="E30" s="162">
        <v>450000</v>
      </c>
      <c r="F30" s="162">
        <v>33061</v>
      </c>
      <c r="G30" s="162">
        <f t="shared" si="1"/>
        <v>483061</v>
      </c>
      <c r="H30" s="162">
        <f t="shared" si="0"/>
        <v>232673.35</v>
      </c>
      <c r="I30" s="162">
        <f t="shared" si="2"/>
        <v>250387.65</v>
      </c>
      <c r="J30" s="166"/>
      <c r="K30" s="166"/>
      <c r="L30" s="166"/>
      <c r="M30" s="166"/>
      <c r="N30" s="262"/>
      <c r="O30" s="246"/>
      <c r="P30" s="246">
        <v>89735</v>
      </c>
      <c r="Q30" s="246">
        <v>21262.799999999999</v>
      </c>
      <c r="R30" s="246"/>
      <c r="S30" s="246">
        <v>17792.169999999998</v>
      </c>
      <c r="T30" s="193"/>
      <c r="U30" s="429">
        <v>103883.38</v>
      </c>
      <c r="V30" s="166"/>
      <c r="W30" s="166"/>
      <c r="X30" s="166"/>
      <c r="Y30" s="166"/>
      <c r="Z30" s="166"/>
      <c r="AA30" s="165"/>
      <c r="AB30" s="165"/>
      <c r="AC30" s="44"/>
    </row>
    <row r="31" spans="1:29" s="37" customFormat="1" ht="29.1" customHeight="1" thickBot="1" x14ac:dyDescent="0.35">
      <c r="A31" s="96" t="s">
        <v>54</v>
      </c>
      <c r="B31" s="93" t="s">
        <v>192</v>
      </c>
      <c r="C31" s="92" t="s">
        <v>334</v>
      </c>
      <c r="D31" s="93" t="s">
        <v>316</v>
      </c>
      <c r="E31" s="162">
        <v>150000</v>
      </c>
      <c r="F31" s="162">
        <v>41</v>
      </c>
      <c r="G31" s="162">
        <f t="shared" si="1"/>
        <v>150041</v>
      </c>
      <c r="H31" s="162">
        <f t="shared" si="0"/>
        <v>68341</v>
      </c>
      <c r="I31" s="162">
        <f t="shared" si="2"/>
        <v>81700</v>
      </c>
      <c r="J31" s="166"/>
      <c r="K31" s="166"/>
      <c r="L31" s="166"/>
      <c r="M31" s="166"/>
      <c r="N31" s="246"/>
      <c r="O31" s="246"/>
      <c r="P31" s="246"/>
      <c r="Q31" s="246">
        <f>10605+19388+7377</f>
        <v>37370</v>
      </c>
      <c r="R31" s="246"/>
      <c r="S31" s="246"/>
      <c r="T31" s="342">
        <f>(21181+9790)</f>
        <v>30971</v>
      </c>
      <c r="U31" s="429"/>
      <c r="V31" s="166"/>
      <c r="W31" s="166"/>
      <c r="X31" s="166"/>
      <c r="Y31" s="166"/>
      <c r="Z31" s="166"/>
      <c r="AA31" s="165"/>
      <c r="AB31" s="165"/>
      <c r="AC31" s="44"/>
    </row>
    <row r="32" spans="1:29" s="37" customFormat="1" ht="29.1" customHeight="1" thickBot="1" x14ac:dyDescent="0.35">
      <c r="A32" s="96" t="s">
        <v>54</v>
      </c>
      <c r="B32" s="93" t="s">
        <v>192</v>
      </c>
      <c r="C32" s="92" t="s">
        <v>329</v>
      </c>
      <c r="D32" s="93" t="s">
        <v>317</v>
      </c>
      <c r="E32" s="162">
        <v>149895</v>
      </c>
      <c r="F32" s="162">
        <v>0</v>
      </c>
      <c r="G32" s="162">
        <f t="shared" si="1"/>
        <v>149895</v>
      </c>
      <c r="H32" s="162">
        <f t="shared" si="0"/>
        <v>0</v>
      </c>
      <c r="I32" s="162">
        <f t="shared" si="2"/>
        <v>149895</v>
      </c>
      <c r="J32" s="166"/>
      <c r="K32" s="166"/>
      <c r="L32" s="166"/>
      <c r="M32" s="166"/>
      <c r="N32" s="246"/>
      <c r="O32" s="246"/>
      <c r="P32" s="246"/>
      <c r="Q32" s="246"/>
      <c r="R32" s="246"/>
      <c r="S32" s="246"/>
      <c r="T32" s="166"/>
      <c r="U32" s="429"/>
      <c r="V32" s="166"/>
      <c r="W32" s="166"/>
      <c r="X32" s="166"/>
      <c r="Y32" s="166"/>
      <c r="Z32" s="166"/>
      <c r="AA32" s="165"/>
      <c r="AB32" s="165"/>
      <c r="AC32" s="44"/>
    </row>
    <row r="33" spans="1:42" s="37" customFormat="1" ht="29.1" customHeight="1" thickBot="1" x14ac:dyDescent="0.35">
      <c r="A33" s="96" t="s">
        <v>94</v>
      </c>
      <c r="B33" s="194" t="s">
        <v>169</v>
      </c>
      <c r="C33" s="92" t="s">
        <v>94</v>
      </c>
      <c r="D33" s="93" t="s">
        <v>318</v>
      </c>
      <c r="E33" s="162">
        <f>450000-48000</f>
        <v>402000</v>
      </c>
      <c r="F33" s="162">
        <v>0</v>
      </c>
      <c r="G33" s="162">
        <f t="shared" si="1"/>
        <v>402000</v>
      </c>
      <c r="H33" s="162">
        <f t="shared" si="0"/>
        <v>300001.49000000005</v>
      </c>
      <c r="I33" s="162">
        <f t="shared" si="2"/>
        <v>101998.50999999995</v>
      </c>
      <c r="J33" s="166"/>
      <c r="K33" s="166"/>
      <c r="L33" s="166"/>
      <c r="M33" s="166"/>
      <c r="N33" s="246">
        <f>26605.03+22470.99</f>
        <v>49076.020000000004</v>
      </c>
      <c r="O33" s="246"/>
      <c r="P33" s="246"/>
      <c r="Q33" s="246">
        <f>62640.5+25743.33</f>
        <v>88383.83</v>
      </c>
      <c r="R33" s="246">
        <f>46036.68+17367.99</f>
        <v>63404.67</v>
      </c>
      <c r="S33" s="246">
        <v>50981.57</v>
      </c>
      <c r="T33" s="166">
        <v>48155.4</v>
      </c>
      <c r="U33" s="429"/>
      <c r="V33" s="166"/>
      <c r="W33" s="166"/>
      <c r="X33" s="166"/>
      <c r="Y33" s="166"/>
      <c r="Z33" s="166"/>
      <c r="AA33" s="165"/>
      <c r="AB33" s="165"/>
      <c r="AC33" s="44"/>
    </row>
    <row r="34" spans="1:42" s="37" customFormat="1" ht="29.1" customHeight="1" thickBot="1" x14ac:dyDescent="0.35">
      <c r="A34" s="96" t="s">
        <v>252</v>
      </c>
      <c r="B34" s="93" t="s">
        <v>269</v>
      </c>
      <c r="C34" s="92" t="s">
        <v>252</v>
      </c>
      <c r="D34" s="93" t="s">
        <v>420</v>
      </c>
      <c r="E34" s="162">
        <f>495080-119592</f>
        <v>375488</v>
      </c>
      <c r="F34" s="162">
        <v>89061</v>
      </c>
      <c r="G34" s="162">
        <f t="shared" si="1"/>
        <v>464549</v>
      </c>
      <c r="H34" s="162">
        <f t="shared" si="0"/>
        <v>358181</v>
      </c>
      <c r="I34" s="162">
        <f t="shared" si="2"/>
        <v>106368</v>
      </c>
      <c r="J34" s="166"/>
      <c r="K34" s="166">
        <f>18882+26227</f>
        <v>45109</v>
      </c>
      <c r="L34" s="166">
        <v>27360</v>
      </c>
      <c r="M34" s="166">
        <v>34262</v>
      </c>
      <c r="N34" s="246">
        <v>36287</v>
      </c>
      <c r="O34" s="246">
        <v>37683</v>
      </c>
      <c r="P34" s="246">
        <v>30727</v>
      </c>
      <c r="Q34" s="246">
        <v>36456</v>
      </c>
      <c r="R34" s="262">
        <v>35078</v>
      </c>
      <c r="S34" s="246">
        <v>34392</v>
      </c>
      <c r="T34" s="166">
        <v>40827</v>
      </c>
      <c r="U34" s="429"/>
      <c r="V34" s="166"/>
      <c r="W34" s="166"/>
      <c r="X34" s="166"/>
      <c r="Y34" s="166"/>
      <c r="Z34" s="166"/>
      <c r="AA34" s="165"/>
      <c r="AB34" s="165"/>
      <c r="AC34" s="44"/>
    </row>
    <row r="35" spans="1:42" s="37" customFormat="1" ht="29.1" customHeight="1" thickBot="1" x14ac:dyDescent="0.35">
      <c r="A35" s="96" t="s">
        <v>253</v>
      </c>
      <c r="B35" s="93" t="s">
        <v>270</v>
      </c>
      <c r="C35" s="92" t="s">
        <v>253</v>
      </c>
      <c r="D35" s="93" t="s">
        <v>319</v>
      </c>
      <c r="E35" s="162">
        <v>150000</v>
      </c>
      <c r="F35" s="162">
        <v>0</v>
      </c>
      <c r="G35" s="162">
        <f t="shared" si="1"/>
        <v>150000</v>
      </c>
      <c r="H35" s="162">
        <f t="shared" si="0"/>
        <v>120332.59</v>
      </c>
      <c r="I35" s="162">
        <f t="shared" si="2"/>
        <v>29667.410000000003</v>
      </c>
      <c r="J35" s="166"/>
      <c r="K35" s="343">
        <v>21200.799999999999</v>
      </c>
      <c r="L35" s="166">
        <v>8104.32</v>
      </c>
      <c r="M35" s="166"/>
      <c r="N35" s="246"/>
      <c r="O35" s="246">
        <v>39241.480000000003</v>
      </c>
      <c r="P35" s="246">
        <v>16866.509999999998</v>
      </c>
      <c r="Q35" s="246"/>
      <c r="R35" s="246"/>
      <c r="S35" s="246">
        <v>24497.45</v>
      </c>
      <c r="T35" s="166">
        <v>10422.030000000001</v>
      </c>
      <c r="U35" s="429"/>
      <c r="V35" s="166"/>
      <c r="W35" s="166"/>
      <c r="X35" s="166"/>
      <c r="Y35" s="166"/>
      <c r="Z35" s="166"/>
      <c r="AA35" s="165"/>
      <c r="AB35" s="165"/>
      <c r="AC35" s="44"/>
    </row>
    <row r="36" spans="1:42" s="37" customFormat="1" ht="29.1" customHeight="1" thickBot="1" x14ac:dyDescent="0.35">
      <c r="A36" s="96" t="s">
        <v>254</v>
      </c>
      <c r="B36" s="93" t="s">
        <v>271</v>
      </c>
      <c r="C36" s="92" t="s">
        <v>254</v>
      </c>
      <c r="D36" s="93" t="s">
        <v>320</v>
      </c>
      <c r="E36" s="162">
        <v>132714</v>
      </c>
      <c r="F36" s="162">
        <v>1248.55</v>
      </c>
      <c r="G36" s="162">
        <f t="shared" si="1"/>
        <v>133962.54999999999</v>
      </c>
      <c r="H36" s="162">
        <f t="shared" si="0"/>
        <v>111780.16</v>
      </c>
      <c r="I36" s="162">
        <f t="shared" si="2"/>
        <v>22182.389999999985</v>
      </c>
      <c r="J36" s="166"/>
      <c r="K36" s="166"/>
      <c r="L36" s="166"/>
      <c r="M36" s="166"/>
      <c r="N36" s="246"/>
      <c r="O36" s="246">
        <v>49991.64</v>
      </c>
      <c r="P36" s="246"/>
      <c r="Q36" s="246"/>
      <c r="R36" s="246">
        <v>36651.4</v>
      </c>
      <c r="S36" s="246"/>
      <c r="T36" s="166">
        <v>25137.119999999999</v>
      </c>
      <c r="U36" s="429"/>
      <c r="V36" s="166"/>
      <c r="W36" s="166"/>
      <c r="X36" s="166"/>
      <c r="Y36" s="166"/>
      <c r="Z36" s="166"/>
      <c r="AA36" s="165"/>
      <c r="AB36" s="165"/>
      <c r="AC36" s="44"/>
    </row>
    <row r="37" spans="1:42" s="37" customFormat="1" ht="29.1" customHeight="1" thickBot="1" x14ac:dyDescent="0.35">
      <c r="A37" s="96" t="s">
        <v>255</v>
      </c>
      <c r="B37" s="93" t="s">
        <v>272</v>
      </c>
      <c r="C37" s="92" t="s">
        <v>255</v>
      </c>
      <c r="D37" s="93" t="s">
        <v>321</v>
      </c>
      <c r="E37" s="162">
        <v>149996</v>
      </c>
      <c r="F37" s="162">
        <v>15249.58</v>
      </c>
      <c r="G37" s="162">
        <f t="shared" si="1"/>
        <v>165245.57999999999</v>
      </c>
      <c r="H37" s="162">
        <f t="shared" si="0"/>
        <v>130154.44</v>
      </c>
      <c r="I37" s="162">
        <f t="shared" si="2"/>
        <v>35091.139999999985</v>
      </c>
      <c r="J37" s="166"/>
      <c r="K37" s="166">
        <v>6100.8</v>
      </c>
      <c r="L37" s="166">
        <v>11558.7</v>
      </c>
      <c r="M37" s="166">
        <v>17597.96</v>
      </c>
      <c r="N37" s="246">
        <v>14620.1</v>
      </c>
      <c r="O37" s="246">
        <v>14760.03</v>
      </c>
      <c r="P37" s="246">
        <v>14941.91</v>
      </c>
      <c r="Q37" s="246">
        <v>11774.15</v>
      </c>
      <c r="R37" s="246">
        <v>15137.57</v>
      </c>
      <c r="S37" s="246">
        <v>13378.19</v>
      </c>
      <c r="T37" s="166">
        <v>10285.030000000001</v>
      </c>
      <c r="U37" s="429"/>
      <c r="V37" s="166"/>
      <c r="W37" s="166"/>
      <c r="X37" s="166"/>
      <c r="Y37" s="166"/>
      <c r="Z37" s="166"/>
      <c r="AA37" s="165"/>
      <c r="AB37" s="165"/>
      <c r="AC37" s="44"/>
    </row>
    <row r="38" spans="1:42" s="37" customFormat="1" ht="29.1" customHeight="1" thickBot="1" x14ac:dyDescent="0.35">
      <c r="A38" s="96" t="s">
        <v>256</v>
      </c>
      <c r="B38" s="93" t="s">
        <v>273</v>
      </c>
      <c r="C38" s="92" t="s">
        <v>256</v>
      </c>
      <c r="D38" s="93" t="s">
        <v>322</v>
      </c>
      <c r="E38" s="162">
        <v>95776</v>
      </c>
      <c r="F38" s="162">
        <v>15625.13</v>
      </c>
      <c r="G38" s="162">
        <f t="shared" si="1"/>
        <v>111401.13</v>
      </c>
      <c r="H38" s="162">
        <f t="shared" si="0"/>
        <v>61857.27</v>
      </c>
      <c r="I38" s="162">
        <f t="shared" si="2"/>
        <v>49543.860000000008</v>
      </c>
      <c r="J38" s="166"/>
      <c r="K38" s="166">
        <v>3712.74</v>
      </c>
      <c r="L38" s="166">
        <v>3892.34</v>
      </c>
      <c r="M38" s="166">
        <v>3936.35</v>
      </c>
      <c r="N38" s="246">
        <v>5729.13</v>
      </c>
      <c r="O38" s="246">
        <v>8730.34</v>
      </c>
      <c r="P38" s="246">
        <v>7004.74</v>
      </c>
      <c r="Q38" s="246">
        <v>5851.33</v>
      </c>
      <c r="R38" s="246">
        <v>5753.29</v>
      </c>
      <c r="S38" s="246">
        <v>9449.91</v>
      </c>
      <c r="T38" s="166">
        <v>7797.1</v>
      </c>
      <c r="U38" s="429"/>
      <c r="V38" s="166"/>
      <c r="W38" s="166"/>
      <c r="X38" s="166"/>
      <c r="Y38" s="166"/>
      <c r="Z38" s="166"/>
      <c r="AA38" s="165"/>
      <c r="AB38" s="165"/>
      <c r="AC38" s="44"/>
    </row>
    <row r="39" spans="1:42" s="37" customFormat="1" ht="29.1" customHeight="1" thickBot="1" x14ac:dyDescent="0.35">
      <c r="A39" s="96" t="s">
        <v>257</v>
      </c>
      <c r="B39" s="93" t="s">
        <v>274</v>
      </c>
      <c r="C39" s="92" t="s">
        <v>257</v>
      </c>
      <c r="D39" s="93" t="s">
        <v>323</v>
      </c>
      <c r="E39" s="162">
        <v>295890</v>
      </c>
      <c r="F39" s="162">
        <v>26893</v>
      </c>
      <c r="G39" s="162">
        <f t="shared" si="1"/>
        <v>322783</v>
      </c>
      <c r="H39" s="162">
        <f t="shared" si="0"/>
        <v>251553.96000000002</v>
      </c>
      <c r="I39" s="162">
        <f t="shared" si="2"/>
        <v>71229.039999999979</v>
      </c>
      <c r="J39" s="166"/>
      <c r="K39" s="166">
        <v>26824.38</v>
      </c>
      <c r="L39" s="166">
        <v>18945.41</v>
      </c>
      <c r="M39" s="166">
        <v>25567.34</v>
      </c>
      <c r="N39" s="246">
        <v>23389.69</v>
      </c>
      <c r="O39" s="246">
        <v>20878.189999999999</v>
      </c>
      <c r="P39" s="246">
        <v>29135.42</v>
      </c>
      <c r="Q39" s="246">
        <v>22357.09</v>
      </c>
      <c r="R39" s="246">
        <v>26046.42</v>
      </c>
      <c r="S39" s="246">
        <v>26749.599999999999</v>
      </c>
      <c r="T39" s="166">
        <v>31660.42</v>
      </c>
      <c r="U39" s="429"/>
      <c r="V39" s="166"/>
      <c r="W39" s="166"/>
      <c r="X39" s="166"/>
      <c r="Y39" s="166"/>
      <c r="Z39" s="166"/>
      <c r="AA39" s="166"/>
      <c r="AB39" s="166"/>
      <c r="AC39" s="44"/>
    </row>
    <row r="40" spans="1:42" s="37" customFormat="1" ht="29.1" customHeight="1" thickBot="1" x14ac:dyDescent="0.35">
      <c r="A40" s="96" t="s">
        <v>258</v>
      </c>
      <c r="B40" s="93" t="s">
        <v>275</v>
      </c>
      <c r="C40" s="92" t="s">
        <v>258</v>
      </c>
      <c r="D40" s="93" t="s">
        <v>324</v>
      </c>
      <c r="E40" s="162">
        <v>600000</v>
      </c>
      <c r="F40" s="162">
        <v>57900.47</v>
      </c>
      <c r="G40" s="162">
        <f t="shared" si="1"/>
        <v>657900.47</v>
      </c>
      <c r="H40" s="162">
        <f t="shared" si="0"/>
        <v>474526.92000000004</v>
      </c>
      <c r="I40" s="162">
        <f t="shared" si="2"/>
        <v>183373.54999999993</v>
      </c>
      <c r="J40" s="166"/>
      <c r="K40" s="166">
        <v>19939.77</v>
      </c>
      <c r="L40" s="166">
        <v>32959.97</v>
      </c>
      <c r="M40" s="166">
        <v>50410.64</v>
      </c>
      <c r="N40" s="246">
        <v>59243.39</v>
      </c>
      <c r="O40" s="246">
        <v>52070.89</v>
      </c>
      <c r="P40" s="246">
        <v>43401.68</v>
      </c>
      <c r="Q40" s="246">
        <v>37413.99</v>
      </c>
      <c r="R40" s="246">
        <v>60774.06</v>
      </c>
      <c r="S40" s="246">
        <v>43480.06</v>
      </c>
      <c r="T40" s="166">
        <v>74832.47</v>
      </c>
      <c r="U40" s="429"/>
      <c r="V40" s="166"/>
      <c r="W40" s="166"/>
      <c r="X40" s="166"/>
      <c r="Y40" s="166"/>
      <c r="Z40" s="166"/>
      <c r="AA40" s="166"/>
      <c r="AB40" s="166"/>
      <c r="AC40" s="44"/>
    </row>
    <row r="41" spans="1:42" s="37" customFormat="1" ht="29.1" customHeight="1" thickBot="1" x14ac:dyDescent="0.35">
      <c r="A41" s="96" t="s">
        <v>259</v>
      </c>
      <c r="B41" s="93" t="s">
        <v>276</v>
      </c>
      <c r="C41" s="92" t="s">
        <v>259</v>
      </c>
      <c r="D41" s="93" t="s">
        <v>419</v>
      </c>
      <c r="E41" s="162">
        <v>300000</v>
      </c>
      <c r="F41" s="162">
        <v>52995.519999999997</v>
      </c>
      <c r="G41" s="162">
        <f t="shared" si="1"/>
        <v>352995.52</v>
      </c>
      <c r="H41" s="162">
        <f t="shared" si="0"/>
        <v>197304.76</v>
      </c>
      <c r="I41" s="162">
        <f t="shared" si="2"/>
        <v>155690.76</v>
      </c>
      <c r="J41" s="166"/>
      <c r="K41" s="166"/>
      <c r="L41" s="166"/>
      <c r="M41" s="166"/>
      <c r="N41" s="344">
        <v>49595.76</v>
      </c>
      <c r="O41" s="246"/>
      <c r="P41" s="246">
        <v>73306</v>
      </c>
      <c r="Q41" s="246"/>
      <c r="R41" s="246"/>
      <c r="S41" s="246">
        <v>74403</v>
      </c>
      <c r="T41" s="166"/>
      <c r="U41" s="429"/>
      <c r="V41" s="166"/>
      <c r="W41" s="166"/>
      <c r="X41" s="166"/>
      <c r="Y41" s="166"/>
      <c r="Z41" s="166"/>
      <c r="AA41" s="165"/>
      <c r="AB41" s="165"/>
      <c r="AC41" s="44"/>
    </row>
    <row r="42" spans="1:42" s="37" customFormat="1" ht="29.1" customHeight="1" thickBot="1" x14ac:dyDescent="0.35">
      <c r="A42" s="96" t="s">
        <v>72</v>
      </c>
      <c r="B42" s="93" t="s">
        <v>170</v>
      </c>
      <c r="C42" s="92" t="s">
        <v>72</v>
      </c>
      <c r="D42" s="93" t="s">
        <v>104</v>
      </c>
      <c r="E42" s="162">
        <f>150000-30000</f>
        <v>120000</v>
      </c>
      <c r="F42" s="162">
        <v>30118</v>
      </c>
      <c r="G42" s="162">
        <f t="shared" si="1"/>
        <v>150118</v>
      </c>
      <c r="H42" s="162">
        <f t="shared" si="0"/>
        <v>84158.56</v>
      </c>
      <c r="I42" s="162">
        <f t="shared" si="2"/>
        <v>65959.44</v>
      </c>
      <c r="J42" s="166"/>
      <c r="K42" s="166"/>
      <c r="L42" s="166">
        <f>4725.44+8440.24</f>
        <v>13165.68</v>
      </c>
      <c r="M42" s="166"/>
      <c r="N42" s="246"/>
      <c r="O42" s="246"/>
      <c r="P42" s="246">
        <v>9206.7900000000009</v>
      </c>
      <c r="Q42" s="246"/>
      <c r="R42" s="246">
        <f>8449.99+8842.29</f>
        <v>17292.28</v>
      </c>
      <c r="S42" s="246">
        <f>7730.77+11853.7+7665.83</f>
        <v>27250.300000000003</v>
      </c>
      <c r="T42" s="166">
        <v>17243.509999999998</v>
      </c>
      <c r="U42" s="429"/>
      <c r="V42" s="166"/>
      <c r="W42" s="166"/>
      <c r="X42" s="166"/>
      <c r="Y42" s="166"/>
      <c r="Z42" s="166"/>
      <c r="AA42" s="165"/>
      <c r="AB42" s="165"/>
      <c r="AC42" s="44"/>
    </row>
    <row r="43" spans="1:42" s="37" customFormat="1" ht="29.1" customHeight="1" thickBot="1" x14ac:dyDescent="0.35">
      <c r="A43" s="95" t="s">
        <v>95</v>
      </c>
      <c r="B43" s="93" t="s">
        <v>475</v>
      </c>
      <c r="C43" s="97" t="s">
        <v>95</v>
      </c>
      <c r="D43" s="93" t="s">
        <v>325</v>
      </c>
      <c r="E43" s="162">
        <v>115025</v>
      </c>
      <c r="F43" s="162">
        <v>15132</v>
      </c>
      <c r="G43" s="162">
        <f t="shared" si="1"/>
        <v>130157</v>
      </c>
      <c r="H43" s="162">
        <f t="shared" si="0"/>
        <v>46511</v>
      </c>
      <c r="I43" s="162">
        <f t="shared" si="2"/>
        <v>83646</v>
      </c>
      <c r="J43" s="166"/>
      <c r="K43" s="166"/>
      <c r="L43" s="166"/>
      <c r="M43" s="166"/>
      <c r="N43" s="246"/>
      <c r="O43" s="246">
        <v>9604</v>
      </c>
      <c r="P43" s="246">
        <v>1411</v>
      </c>
      <c r="Q43" s="246"/>
      <c r="R43" s="246">
        <f>27452+2081</f>
        <v>29533</v>
      </c>
      <c r="S43" s="246"/>
      <c r="T43" s="166">
        <v>5963</v>
      </c>
      <c r="U43" s="429"/>
      <c r="V43" s="166"/>
      <c r="W43" s="166"/>
      <c r="X43" s="166"/>
      <c r="Y43" s="166"/>
      <c r="Z43" s="166"/>
      <c r="AA43" s="165"/>
      <c r="AB43" s="165"/>
      <c r="AC43" s="44"/>
    </row>
    <row r="44" spans="1:42" ht="29.1" customHeight="1" thickBot="1" x14ac:dyDescent="0.35">
      <c r="A44" s="95" t="s">
        <v>14</v>
      </c>
      <c r="B44" s="93" t="s">
        <v>24</v>
      </c>
      <c r="C44" s="97" t="s">
        <v>260</v>
      </c>
      <c r="D44" s="93" t="s">
        <v>327</v>
      </c>
      <c r="E44" s="162">
        <f>300000-91924</f>
        <v>208076</v>
      </c>
      <c r="F44" s="162">
        <v>54582</v>
      </c>
      <c r="G44" s="162">
        <f t="shared" si="1"/>
        <v>262658</v>
      </c>
      <c r="H44" s="162">
        <f t="shared" si="0"/>
        <v>131495</v>
      </c>
      <c r="I44" s="162">
        <f t="shared" si="2"/>
        <v>131163</v>
      </c>
      <c r="J44" s="166"/>
      <c r="K44" s="166"/>
      <c r="L44" s="166"/>
      <c r="M44" s="166"/>
      <c r="N44" s="246">
        <v>18165</v>
      </c>
      <c r="O44" s="246">
        <f>6969+10887</f>
        <v>17856</v>
      </c>
      <c r="P44" s="246">
        <f>19283+11604</f>
        <v>30887</v>
      </c>
      <c r="Q44" s="246"/>
      <c r="R44" s="246">
        <f>19283+9828</f>
        <v>29111</v>
      </c>
      <c r="S44" s="246">
        <f>15033+20443</f>
        <v>35476</v>
      </c>
      <c r="T44" s="345"/>
      <c r="U44" s="429"/>
      <c r="V44" s="166"/>
      <c r="W44" s="166"/>
      <c r="X44" s="166"/>
      <c r="Y44" s="166"/>
      <c r="Z44" s="166"/>
      <c r="AA44" s="165"/>
      <c r="AB44" s="165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</row>
    <row r="45" spans="1:42" s="37" customFormat="1" ht="29.1" customHeight="1" thickBot="1" x14ac:dyDescent="0.35">
      <c r="A45" s="95" t="s">
        <v>14</v>
      </c>
      <c r="B45" s="93" t="s">
        <v>24</v>
      </c>
      <c r="C45" s="97" t="s">
        <v>294</v>
      </c>
      <c r="D45" s="93" t="s">
        <v>326</v>
      </c>
      <c r="E45" s="162">
        <f>150000-48031</f>
        <v>101969</v>
      </c>
      <c r="F45" s="162">
        <v>22048</v>
      </c>
      <c r="G45" s="162">
        <f t="shared" si="1"/>
        <v>124017</v>
      </c>
      <c r="H45" s="162">
        <f t="shared" si="0"/>
        <v>66269</v>
      </c>
      <c r="I45" s="162">
        <f t="shared" si="2"/>
        <v>57748</v>
      </c>
      <c r="J45" s="166"/>
      <c r="K45" s="166"/>
      <c r="L45" s="166"/>
      <c r="M45" s="166"/>
      <c r="N45" s="246">
        <v>13280</v>
      </c>
      <c r="O45" s="246">
        <f>5545+4560</f>
        <v>10105</v>
      </c>
      <c r="P45" s="246">
        <f>5318+8301</f>
        <v>13619</v>
      </c>
      <c r="Q45" s="246"/>
      <c r="R45" s="246">
        <f>8301+5817</f>
        <v>14118</v>
      </c>
      <c r="S45" s="246">
        <f>6504+8643</f>
        <v>15147</v>
      </c>
      <c r="T45" s="166"/>
      <c r="U45" s="429"/>
      <c r="V45" s="166"/>
      <c r="W45" s="166"/>
      <c r="X45" s="166"/>
      <c r="Y45" s="166"/>
      <c r="Z45" s="166"/>
      <c r="AA45" s="165"/>
      <c r="AB45" s="165"/>
      <c r="AC45" s="44"/>
    </row>
    <row r="46" spans="1:42" s="37" customFormat="1" ht="15" thickBot="1" x14ac:dyDescent="0.35">
      <c r="A46" s="95" t="s">
        <v>90</v>
      </c>
      <c r="B46" s="93" t="s">
        <v>92</v>
      </c>
      <c r="C46" s="97" t="s">
        <v>90</v>
      </c>
      <c r="D46" s="93" t="s">
        <v>328</v>
      </c>
      <c r="E46" s="162">
        <f>107804-57804</f>
        <v>50000</v>
      </c>
      <c r="F46" s="162">
        <v>0</v>
      </c>
      <c r="G46" s="162">
        <f t="shared" si="1"/>
        <v>50000</v>
      </c>
      <c r="H46" s="162">
        <f t="shared" si="0"/>
        <v>26548.58</v>
      </c>
      <c r="I46" s="162">
        <f t="shared" si="2"/>
        <v>23451.42</v>
      </c>
      <c r="J46" s="163"/>
      <c r="K46" s="163"/>
      <c r="L46" s="163">
        <f>2019.11+2251.11</f>
        <v>4270.22</v>
      </c>
      <c r="M46" s="166">
        <f>2100.3-8027.97</f>
        <v>-5927.67</v>
      </c>
      <c r="N46" s="245">
        <v>5027.8599999999997</v>
      </c>
      <c r="O46" s="245">
        <v>5688.15</v>
      </c>
      <c r="P46" s="245"/>
      <c r="Q46" s="248"/>
      <c r="R46" s="376">
        <f>10728.11+6761.91</f>
        <v>17490.02</v>
      </c>
      <c r="S46" s="245"/>
      <c r="T46" s="163"/>
      <c r="U46" s="432"/>
      <c r="V46" s="163"/>
      <c r="W46" s="163"/>
      <c r="X46" s="163"/>
      <c r="Y46" s="163"/>
      <c r="Z46" s="163"/>
      <c r="AA46" s="68"/>
      <c r="AB46" s="68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</row>
    <row r="47" spans="1:42" ht="20.100000000000001" customHeight="1" thickBot="1" x14ac:dyDescent="0.35">
      <c r="E47" s="46"/>
      <c r="F47" s="46"/>
      <c r="G47" s="46"/>
      <c r="H47" s="46"/>
      <c r="I47" s="46"/>
      <c r="N47" s="248"/>
      <c r="O47" s="248"/>
      <c r="P47" s="248"/>
      <c r="Q47" s="248"/>
      <c r="R47" s="248"/>
      <c r="S47" s="248"/>
      <c r="AA47" s="30"/>
      <c r="AB47" s="30"/>
    </row>
    <row r="48" spans="1:42" s="37" customFormat="1" ht="20.100000000000001" customHeight="1" thickBot="1" x14ac:dyDescent="0.35">
      <c r="A48" s="98" t="s">
        <v>46</v>
      </c>
      <c r="B48" s="43"/>
      <c r="C48" s="64"/>
      <c r="D48" s="43"/>
      <c r="E48" s="167">
        <f>SUBTOTAL(9,E9:E47)</f>
        <v>8221321</v>
      </c>
      <c r="F48" s="167">
        <f>SUM(F9:F47)</f>
        <v>935417.19</v>
      </c>
      <c r="G48" s="167">
        <f>SUM(G9:G47)</f>
        <v>9156738.1899999995</v>
      </c>
      <c r="H48" s="167">
        <f>SUBTOTAL(9,H9:H47)</f>
        <v>5029120.3100000005</v>
      </c>
      <c r="I48" s="167">
        <f>SUBTOTAL(9,I9:I47)</f>
        <v>4127617.8799999994</v>
      </c>
      <c r="J48" s="167">
        <f t="shared" ref="J48:K48" si="3">SUBTOTAL(9,J9:J45)</f>
        <v>0</v>
      </c>
      <c r="K48" s="167">
        <f t="shared" si="3"/>
        <v>139950.99000000002</v>
      </c>
      <c r="L48" s="167">
        <f>SUM(L9:L47)</f>
        <v>148172.6</v>
      </c>
      <c r="M48" s="167">
        <f>SUBTOTAL(9,M9:M46)</f>
        <v>352217.86000000004</v>
      </c>
      <c r="N48" s="167">
        <f t="shared" ref="N48:AB48" si="4">SUBTOTAL(9,N9:N46)</f>
        <v>450049.87</v>
      </c>
      <c r="O48" s="167">
        <f t="shared" si="4"/>
        <v>423250.07000000012</v>
      </c>
      <c r="P48" s="167">
        <f t="shared" si="4"/>
        <v>606867.36</v>
      </c>
      <c r="Q48" s="167">
        <f t="shared" si="4"/>
        <v>406045.15</v>
      </c>
      <c r="R48" s="167">
        <f t="shared" si="4"/>
        <v>997551.64000000013</v>
      </c>
      <c r="S48" s="167">
        <f t="shared" si="4"/>
        <v>699050.84000000008</v>
      </c>
      <c r="T48" s="167">
        <f t="shared" si="4"/>
        <v>572372.37</v>
      </c>
      <c r="U48" s="167">
        <f t="shared" si="4"/>
        <v>233591.56</v>
      </c>
      <c r="V48" s="167">
        <f t="shared" si="4"/>
        <v>0</v>
      </c>
      <c r="W48" s="167">
        <f t="shared" si="4"/>
        <v>0</v>
      </c>
      <c r="X48" s="167">
        <f t="shared" si="4"/>
        <v>0</v>
      </c>
      <c r="Y48" s="167">
        <f t="shared" si="4"/>
        <v>0</v>
      </c>
      <c r="Z48" s="167">
        <f t="shared" si="4"/>
        <v>0</v>
      </c>
      <c r="AA48" s="167">
        <f t="shared" si="4"/>
        <v>0</v>
      </c>
      <c r="AB48" s="167">
        <f t="shared" si="4"/>
        <v>0</v>
      </c>
    </row>
    <row r="49" spans="3:28" ht="35.25" hidden="1" customHeight="1" x14ac:dyDescent="0.3">
      <c r="C49" s="46"/>
      <c r="D49" s="46"/>
      <c r="E49" s="46"/>
      <c r="F49" s="46"/>
      <c r="G49" s="46"/>
      <c r="H49" s="68"/>
      <c r="I49" s="44"/>
      <c r="K49" s="68"/>
      <c r="L49" s="255"/>
      <c r="M49" s="68"/>
      <c r="N49" s="68"/>
      <c r="Q49" s="68"/>
      <c r="R49" s="44" t="s">
        <v>33</v>
      </c>
      <c r="S49" s="30"/>
      <c r="AA49" s="30"/>
      <c r="AB49" s="30"/>
    </row>
    <row r="50" spans="3:28" ht="33" hidden="1" customHeight="1" x14ac:dyDescent="0.3">
      <c r="C50" s="46"/>
      <c r="D50" s="46"/>
      <c r="E50" s="46"/>
      <c r="F50" s="46"/>
      <c r="G50" s="46"/>
      <c r="H50" s="44"/>
      <c r="I50" s="44"/>
      <c r="L50" s="255"/>
      <c r="M50" s="68"/>
      <c r="O50" s="68"/>
      <c r="P50" s="68"/>
      <c r="Q50" s="68"/>
      <c r="S50" s="255">
        <v>485739.13</v>
      </c>
      <c r="AA50" s="30"/>
      <c r="AB50" s="30"/>
    </row>
    <row r="51" spans="3:28" ht="26.25" hidden="1" customHeight="1" x14ac:dyDescent="0.3">
      <c r="C51" s="46"/>
      <c r="D51" s="46"/>
      <c r="E51" s="46"/>
      <c r="F51" s="46"/>
      <c r="G51" s="46"/>
      <c r="H51" s="68"/>
      <c r="I51" s="68"/>
      <c r="L51" s="161"/>
      <c r="M51" s="68"/>
      <c r="R51" s="68"/>
      <c r="S51" s="255">
        <v>192609.72</v>
      </c>
      <c r="AA51" s="30"/>
      <c r="AB51" s="30"/>
    </row>
    <row r="52" spans="3:28" ht="33.75" hidden="1" customHeight="1" x14ac:dyDescent="0.3">
      <c r="C52" s="46"/>
      <c r="D52" s="46"/>
      <c r="E52" s="46"/>
      <c r="F52" s="46"/>
      <c r="G52" s="46"/>
      <c r="H52" s="68"/>
      <c r="I52" s="44"/>
      <c r="R52" s="68"/>
      <c r="S52" s="245">
        <v>31944</v>
      </c>
      <c r="AA52" s="30"/>
      <c r="AB52" s="30"/>
    </row>
    <row r="53" spans="3:28" ht="36" hidden="1" customHeight="1" x14ac:dyDescent="0.3">
      <c r="C53" s="46"/>
      <c r="D53" s="46"/>
      <c r="E53" s="46"/>
      <c r="F53" s="46"/>
      <c r="G53" s="46"/>
      <c r="H53" s="44"/>
      <c r="I53" s="44"/>
      <c r="Q53" s="68"/>
      <c r="S53" s="245">
        <v>11749</v>
      </c>
      <c r="T53" s="68"/>
      <c r="AA53" s="30"/>
      <c r="AB53" s="30"/>
    </row>
    <row r="54" spans="3:28" ht="29.25" hidden="1" customHeight="1" x14ac:dyDescent="0.3">
      <c r="C54" s="46"/>
      <c r="D54" s="46"/>
      <c r="E54" s="46"/>
      <c r="F54" s="46"/>
      <c r="G54" s="46"/>
      <c r="H54" s="44"/>
      <c r="I54" s="44"/>
      <c r="K54" s="68"/>
      <c r="S54" s="245">
        <v>80839</v>
      </c>
      <c r="AA54" s="30"/>
      <c r="AB54" s="30"/>
    </row>
    <row r="55" spans="3:28" ht="33.75" hidden="1" customHeight="1" x14ac:dyDescent="0.3">
      <c r="C55" s="46"/>
      <c r="D55" s="46"/>
      <c r="E55" s="46"/>
      <c r="F55" s="46"/>
      <c r="G55" s="46"/>
      <c r="H55" s="44"/>
      <c r="I55" s="44"/>
      <c r="S55" s="255">
        <f>SUBTOTAL(9,S50:S54)</f>
        <v>802880.85</v>
      </c>
      <c r="AA55" s="30"/>
      <c r="AB55" s="30"/>
    </row>
    <row r="56" spans="3:28" hidden="1" x14ac:dyDescent="0.3">
      <c r="C56" s="46"/>
      <c r="D56" s="46"/>
      <c r="E56" s="46"/>
      <c r="F56" s="46"/>
      <c r="G56" s="46"/>
      <c r="H56" s="44"/>
      <c r="I56" s="44"/>
      <c r="AA56" s="30"/>
      <c r="AB56" s="30"/>
    </row>
    <row r="57" spans="3:28" ht="16.350000000000001" customHeight="1" x14ac:dyDescent="0.3">
      <c r="C57" s="46"/>
      <c r="D57" s="46"/>
      <c r="E57" s="46"/>
      <c r="F57" s="46"/>
      <c r="G57" s="46"/>
      <c r="H57" s="44" t="s">
        <v>680</v>
      </c>
      <c r="I57" s="44"/>
      <c r="L57" s="255">
        <v>148172.6</v>
      </c>
      <c r="M57" s="255">
        <v>307000.03999999998</v>
      </c>
      <c r="N57" s="255" t="s">
        <v>33</v>
      </c>
      <c r="P57" s="255"/>
      <c r="AA57" s="30"/>
      <c r="AB57" s="30"/>
    </row>
    <row r="58" spans="3:28" ht="16.350000000000001" customHeight="1" x14ac:dyDescent="0.3">
      <c r="C58" s="46"/>
      <c r="D58" s="46"/>
      <c r="E58" s="46"/>
      <c r="F58" s="46"/>
      <c r="G58" s="46"/>
      <c r="H58" s="44"/>
      <c r="I58" s="44"/>
      <c r="M58" s="255"/>
      <c r="N58" s="255" t="s">
        <v>33</v>
      </c>
      <c r="P58" s="68"/>
      <c r="AA58" s="30"/>
      <c r="AB58" s="30"/>
    </row>
    <row r="59" spans="3:28" ht="16.350000000000001" customHeight="1" x14ac:dyDescent="0.3">
      <c r="C59" s="46"/>
      <c r="D59" s="46"/>
      <c r="E59" s="46"/>
      <c r="F59" s="46"/>
      <c r="G59" s="46"/>
      <c r="H59" s="44"/>
      <c r="I59" s="44"/>
      <c r="M59" s="255">
        <f>M48-M57</f>
        <v>45217.820000000065</v>
      </c>
      <c r="N59" s="68">
        <f>SUM(N57:N58)</f>
        <v>0</v>
      </c>
      <c r="AA59" s="30"/>
      <c r="AB59" s="30"/>
    </row>
    <row r="60" spans="3:28" ht="16.350000000000001" customHeight="1" x14ac:dyDescent="0.3">
      <c r="C60" s="46"/>
      <c r="D60" s="46"/>
      <c r="E60" s="46"/>
      <c r="F60" s="46"/>
      <c r="G60" s="46"/>
      <c r="H60" s="44"/>
      <c r="I60" s="44"/>
    </row>
    <row r="61" spans="3:28" ht="16.350000000000001" customHeight="1" x14ac:dyDescent="0.3">
      <c r="C61" s="46"/>
      <c r="D61" s="46"/>
      <c r="E61" s="46"/>
      <c r="F61" s="46"/>
      <c r="G61" s="46"/>
      <c r="H61" s="44"/>
      <c r="I61" s="44"/>
    </row>
    <row r="62" spans="3:28" x14ac:dyDescent="0.3">
      <c r="C62" s="46"/>
      <c r="D62" s="46"/>
      <c r="E62" s="46"/>
      <c r="F62" s="46"/>
      <c r="G62" s="46"/>
      <c r="H62" s="44"/>
      <c r="I62" s="44"/>
    </row>
    <row r="63" spans="3:28" x14ac:dyDescent="0.3">
      <c r="C63" s="46"/>
      <c r="D63" s="46"/>
      <c r="E63" s="46"/>
      <c r="F63" s="46"/>
      <c r="G63" s="46"/>
      <c r="H63" s="44"/>
      <c r="I63" s="44"/>
    </row>
    <row r="64" spans="3:28" x14ac:dyDescent="0.3">
      <c r="E64" s="46"/>
      <c r="F64" s="46"/>
      <c r="G64" s="46"/>
      <c r="H64" s="46"/>
      <c r="I64" s="46"/>
    </row>
    <row r="65" spans="5:9" x14ac:dyDescent="0.3">
      <c r="E65" s="46"/>
      <c r="F65" s="46"/>
      <c r="G65" s="46"/>
      <c r="H65" s="46"/>
      <c r="I65" s="46"/>
    </row>
    <row r="66" spans="5:9" x14ac:dyDescent="0.3">
      <c r="E66" s="46"/>
      <c r="F66" s="46"/>
      <c r="G66" s="46"/>
      <c r="H66" s="46"/>
      <c r="I66" s="46"/>
    </row>
    <row r="67" spans="5:9" x14ac:dyDescent="0.3">
      <c r="E67" s="46"/>
      <c r="F67" s="46"/>
      <c r="G67" s="46"/>
      <c r="H67" s="46"/>
      <c r="I67" s="46"/>
    </row>
    <row r="68" spans="5:9" x14ac:dyDescent="0.3">
      <c r="E68" s="46"/>
      <c r="F68" s="46"/>
      <c r="G68" s="46"/>
      <c r="H68" s="46"/>
      <c r="I68" s="46"/>
    </row>
    <row r="69" spans="5:9" x14ac:dyDescent="0.3">
      <c r="H69" s="46"/>
      <c r="I69" s="46"/>
    </row>
    <row r="70" spans="5:9" x14ac:dyDescent="0.3">
      <c r="H70" s="46"/>
      <c r="I70" s="46"/>
    </row>
    <row r="71" spans="5:9" x14ac:dyDescent="0.3">
      <c r="H71" s="46"/>
      <c r="I71" s="46"/>
    </row>
  </sheetData>
  <sheetProtection algorithmName="SHA-512" hashValue="BjUMRneT7GcXpnR2aQXVbZC2qQw0yFhLZEFrZhZAsQAivZl1PiEUCwn5Y4CEP0GyV9dLdl4xtXx2iULNvzSHKg==" saltValue="dghJIa0NU/wlG3MxdwuBZQ==" spinCount="100000" sheet="1" objects="1" scenarios="1"/>
  <autoFilter ref="A8:AP46" xr:uid="{00000000-0009-0000-0000-000001000000}">
    <sortState xmlns:xlrd2="http://schemas.microsoft.com/office/spreadsheetml/2017/richdata2" ref="A9:AO46">
      <sortCondition ref="A8"/>
    </sortState>
  </autoFilter>
  <sortState xmlns:xlrd2="http://schemas.microsoft.com/office/spreadsheetml/2017/richdata2" ref="A9:AA48">
    <sortCondition ref="A9:A48"/>
    <sortCondition ref="C9:C48"/>
  </sortState>
  <mergeCells count="1">
    <mergeCell ref="A7:I7"/>
  </mergeCells>
  <hyperlinks>
    <hyperlink ref="C5" r:id="rId1" xr:uid="{7C61DE78-DB9A-4AF9-BFA8-B7FC687DF0E4}"/>
  </hyperlinks>
  <pageMargins left="0.7" right="0.7" top="0.75" bottom="0.75" header="0.3" footer="0.3"/>
  <pageSetup orientation="portrait"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62">
    <tabColor theme="2"/>
  </sheetPr>
  <dimension ref="A1:AJ52"/>
  <sheetViews>
    <sheetView workbookViewId="0">
      <pane xSplit="7" ySplit="9" topLeftCell="Q10" activePane="bottomRight" state="frozen"/>
      <selection activeCell="A8" sqref="A8:XFD8"/>
      <selection pane="topRight" activeCell="A8" sqref="A8:XFD8"/>
      <selection pane="bottomLeft" activeCell="A8" sqref="A8:XFD8"/>
      <selection pane="bottomRight" activeCell="R23" sqref="R23"/>
    </sheetView>
  </sheetViews>
  <sheetFormatPr defaultColWidth="9.44140625" defaultRowHeight="14.4" x14ac:dyDescent="0.3"/>
  <cols>
    <col min="1" max="1" width="9.44140625" style="44"/>
    <col min="2" max="2" width="36.5546875" style="44" customWidth="1"/>
    <col min="3" max="3" width="14.44140625" style="44" customWidth="1"/>
    <col min="4" max="4" width="10.5546875" style="44" customWidth="1"/>
    <col min="5" max="6" width="14.44140625" style="44" customWidth="1"/>
    <col min="7" max="7" width="17.5546875" style="44" customWidth="1"/>
    <col min="8" max="8" width="12.44140625" style="44" customWidth="1"/>
    <col min="9" max="9" width="12.5546875" style="44" customWidth="1"/>
    <col min="10" max="10" width="12" style="44" customWidth="1"/>
    <col min="11" max="11" width="11.5546875" style="44" customWidth="1"/>
    <col min="12" max="12" width="12.44140625" style="44" customWidth="1"/>
    <col min="13" max="13" width="12.5546875" style="44" customWidth="1"/>
    <col min="14" max="14" width="12.44140625" style="44" customWidth="1"/>
    <col min="15" max="15" width="13.44140625" style="44" customWidth="1"/>
    <col min="16" max="16" width="12.44140625" style="44" customWidth="1"/>
    <col min="17" max="17" width="13.5546875" style="44" customWidth="1"/>
    <col min="18" max="18" width="12.5546875" style="44" customWidth="1"/>
    <col min="19" max="19" width="13.44140625" style="44" customWidth="1"/>
    <col min="20" max="20" width="13" style="44" customWidth="1"/>
    <col min="21" max="22" width="15.5546875" style="44" customWidth="1"/>
    <col min="23" max="23" width="16.6640625" style="44" customWidth="1"/>
    <col min="24" max="24" width="15" style="44" bestFit="1" customWidth="1"/>
    <col min="25" max="25" width="14.5546875" style="44" bestFit="1" customWidth="1"/>
    <col min="26" max="26" width="12.44140625" style="44" bestFit="1" customWidth="1"/>
    <col min="27" max="27" width="13.44140625" style="44" bestFit="1" customWidth="1"/>
    <col min="28" max="28" width="11" style="44" bestFit="1" customWidth="1"/>
    <col min="29" max="29" width="9.5546875" style="44" bestFit="1" customWidth="1"/>
    <col min="30" max="30" width="9.44140625" style="44" bestFit="1" customWidth="1"/>
    <col min="31" max="31" width="9.5546875" style="44" bestFit="1" customWidth="1"/>
    <col min="32" max="32" width="8.5546875" style="44" bestFit="1" customWidth="1"/>
    <col min="33" max="33" width="11.5546875" style="44" bestFit="1" customWidth="1"/>
    <col min="34" max="34" width="15.44140625" style="44" bestFit="1" customWidth="1"/>
    <col min="35" max="36" width="21.44140625" style="44" customWidth="1"/>
    <col min="37" max="16384" width="9.44140625" style="44"/>
  </cols>
  <sheetData>
    <row r="1" spans="1:36" ht="21" x14ac:dyDescent="0.4">
      <c r="A1" s="47" t="s">
        <v>0</v>
      </c>
      <c r="B1" s="53"/>
      <c r="C1" s="48" t="s">
        <v>142</v>
      </c>
      <c r="D1" s="48"/>
      <c r="E1" s="48"/>
      <c r="F1" s="47"/>
      <c r="G1" s="49"/>
      <c r="H1" s="54"/>
      <c r="I1" s="54"/>
      <c r="J1" s="48"/>
      <c r="K1" s="48"/>
      <c r="L1" s="47"/>
      <c r="M1" s="47"/>
      <c r="N1" s="48" t="str">
        <f>$C$1</f>
        <v>Title I-C Migrant</v>
      </c>
      <c r="O1" s="49"/>
      <c r="P1" s="54"/>
      <c r="Q1" s="48"/>
      <c r="R1" s="48"/>
      <c r="S1" s="48"/>
      <c r="T1" s="48" t="str">
        <f>$C$1</f>
        <v>Title I-C Migrant</v>
      </c>
      <c r="U1" s="47"/>
      <c r="V1" s="49"/>
      <c r="W1" s="49"/>
      <c r="X1" s="48"/>
      <c r="Y1" s="49"/>
      <c r="Z1" s="49"/>
      <c r="AA1" s="48" t="str">
        <f>$C$1</f>
        <v>Title I-C Migrant</v>
      </c>
      <c r="AB1" s="49"/>
      <c r="AC1" s="49"/>
      <c r="AD1" s="49"/>
      <c r="AE1" s="48"/>
      <c r="AF1" s="49"/>
      <c r="AG1" s="49"/>
      <c r="AH1" s="49"/>
      <c r="AI1" s="47"/>
      <c r="AJ1" s="47"/>
    </row>
    <row r="2" spans="1:36" ht="21" x14ac:dyDescent="0.4">
      <c r="A2" s="47" t="s">
        <v>147</v>
      </c>
      <c r="B2" s="49"/>
      <c r="C2" s="47" t="s">
        <v>155</v>
      </c>
      <c r="D2" s="47"/>
      <c r="E2" s="47"/>
      <c r="F2" s="50"/>
      <c r="G2" s="19"/>
      <c r="H2" s="54"/>
      <c r="I2" s="54"/>
      <c r="J2" s="50"/>
      <c r="K2" s="48"/>
      <c r="L2" s="48" t="s">
        <v>33</v>
      </c>
      <c r="M2" s="51"/>
      <c r="N2" s="50" t="str">
        <f>"FY"&amp;$C$4</f>
        <v>FY2020-21</v>
      </c>
      <c r="O2" s="19"/>
      <c r="P2" s="19"/>
      <c r="Q2" s="50"/>
      <c r="R2" s="50"/>
      <c r="S2" s="48"/>
      <c r="T2" s="50" t="str">
        <f>"FY"&amp;$C$4</f>
        <v>FY2020-21</v>
      </c>
      <c r="U2" s="51"/>
      <c r="V2" s="19"/>
      <c r="W2" s="49"/>
      <c r="X2" s="50"/>
      <c r="Y2" s="49"/>
      <c r="Z2" s="49"/>
      <c r="AA2" s="50" t="str">
        <f>"FY"&amp;$C$4</f>
        <v>FY2020-21</v>
      </c>
      <c r="AB2" s="49"/>
      <c r="AC2" s="49"/>
      <c r="AD2" s="49"/>
      <c r="AE2" s="50"/>
      <c r="AF2" s="49"/>
      <c r="AG2" s="49"/>
      <c r="AH2" s="49"/>
      <c r="AI2" s="47"/>
      <c r="AJ2" s="47"/>
    </row>
    <row r="3" spans="1:36" ht="16.350000000000001" customHeight="1" x14ac:dyDescent="0.4">
      <c r="A3" s="50" t="s">
        <v>1</v>
      </c>
      <c r="B3" s="53"/>
      <c r="C3" s="51">
        <v>4011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54"/>
      <c r="AJ3" s="54"/>
    </row>
    <row r="4" spans="1:36" ht="16.350000000000001" customHeight="1" x14ac:dyDescent="0.4">
      <c r="A4" s="50" t="s">
        <v>2</v>
      </c>
      <c r="B4" s="53"/>
      <c r="C4" s="51" t="s">
        <v>495</v>
      </c>
      <c r="D4" s="51"/>
      <c r="E4" s="51"/>
      <c r="F4" s="19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54"/>
      <c r="AJ4" s="54"/>
    </row>
    <row r="5" spans="1:36" ht="16.350000000000001" customHeight="1" x14ac:dyDescent="0.4">
      <c r="A5" s="50" t="s">
        <v>529</v>
      </c>
      <c r="B5" s="53"/>
      <c r="C5" s="51" t="s">
        <v>530</v>
      </c>
      <c r="D5" s="51"/>
      <c r="E5" s="51"/>
      <c r="F5" s="19"/>
      <c r="G5" s="19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4"/>
      <c r="AJ5" s="54"/>
    </row>
    <row r="6" spans="1:36" ht="16.350000000000001" customHeight="1" x14ac:dyDescent="0.4">
      <c r="A6" s="50" t="s">
        <v>141</v>
      </c>
      <c r="B6" s="53"/>
      <c r="C6" s="63" t="s">
        <v>402</v>
      </c>
      <c r="D6" s="122"/>
      <c r="E6" s="122"/>
      <c r="F6" s="50"/>
      <c r="G6" s="9"/>
      <c r="H6" s="9"/>
      <c r="I6" s="9"/>
      <c r="J6" s="9"/>
      <c r="K6" s="9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2"/>
      <c r="AJ6" s="52"/>
    </row>
    <row r="7" spans="1:36" ht="16.350000000000001" customHeight="1" x14ac:dyDescent="0.4">
      <c r="A7" s="50" t="s">
        <v>19</v>
      </c>
      <c r="B7" s="53"/>
      <c r="C7" s="67" t="s">
        <v>421</v>
      </c>
      <c r="D7" s="50"/>
      <c r="E7" s="50"/>
      <c r="F7" s="50"/>
      <c r="G7" s="9"/>
      <c r="H7" s="9"/>
      <c r="I7" s="9"/>
      <c r="J7" s="9"/>
      <c r="K7" s="9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52"/>
      <c r="AJ7" s="52"/>
    </row>
    <row r="8" spans="1:36" ht="16.350000000000001" customHeight="1" thickBot="1" x14ac:dyDescent="0.45">
      <c r="A8" s="50"/>
      <c r="B8" s="53"/>
      <c r="C8" s="50"/>
      <c r="D8" s="50"/>
      <c r="E8" s="50"/>
      <c r="F8" s="50"/>
      <c r="G8" s="9"/>
      <c r="H8" s="9"/>
      <c r="I8" s="9"/>
      <c r="J8" s="9"/>
      <c r="K8" s="9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2"/>
      <c r="AJ8" s="52"/>
    </row>
    <row r="9" spans="1:36" s="121" customFormat="1" ht="29.4" thickBot="1" x14ac:dyDescent="0.35">
      <c r="A9" s="55" t="s">
        <v>138</v>
      </c>
      <c r="B9" s="55" t="s">
        <v>44</v>
      </c>
      <c r="C9" s="55" t="s">
        <v>15</v>
      </c>
      <c r="D9" s="55"/>
      <c r="E9" s="55" t="s">
        <v>140</v>
      </c>
      <c r="F9" s="55" t="s">
        <v>16</v>
      </c>
      <c r="G9" s="25" t="s">
        <v>17</v>
      </c>
      <c r="H9" s="26" t="s">
        <v>238</v>
      </c>
      <c r="I9" s="27" t="s">
        <v>239</v>
      </c>
      <c r="J9" s="26" t="s">
        <v>240</v>
      </c>
      <c r="K9" s="27" t="s">
        <v>400</v>
      </c>
      <c r="L9" s="26" t="s">
        <v>401</v>
      </c>
      <c r="M9" s="27" t="s">
        <v>466</v>
      </c>
      <c r="N9" s="27" t="s">
        <v>496</v>
      </c>
      <c r="O9" s="27" t="s">
        <v>497</v>
      </c>
      <c r="P9" s="27" t="s">
        <v>498</v>
      </c>
      <c r="Q9" s="27" t="s">
        <v>499</v>
      </c>
      <c r="R9" s="27" t="s">
        <v>500</v>
      </c>
      <c r="S9" s="27" t="s">
        <v>528</v>
      </c>
      <c r="T9" s="26" t="s">
        <v>502</v>
      </c>
      <c r="U9" s="27" t="s">
        <v>503</v>
      </c>
      <c r="V9" s="27" t="s">
        <v>504</v>
      </c>
      <c r="W9" s="27" t="s">
        <v>505</v>
      </c>
      <c r="X9" s="26" t="s">
        <v>506</v>
      </c>
      <c r="Y9" s="26" t="s">
        <v>510</v>
      </c>
      <c r="Z9" s="12"/>
      <c r="AA9" s="27"/>
      <c r="AB9" s="27"/>
      <c r="AC9" s="27"/>
      <c r="AD9" s="27"/>
      <c r="AE9" s="27"/>
      <c r="AF9" s="26"/>
      <c r="AG9" s="27"/>
      <c r="AH9" s="27"/>
      <c r="AI9" s="55"/>
      <c r="AJ9" s="55"/>
    </row>
    <row r="10" spans="1:36" s="121" customFormat="1" ht="15" thickBot="1" x14ac:dyDescent="0.35">
      <c r="A10" s="138" t="s">
        <v>4</v>
      </c>
      <c r="B10" s="69" t="s">
        <v>91</v>
      </c>
      <c r="C10" s="241">
        <v>1544780</v>
      </c>
      <c r="D10" s="228">
        <v>0</v>
      </c>
      <c r="E10" s="228">
        <f>C10</f>
        <v>1544780</v>
      </c>
      <c r="F10" s="241">
        <f>SUM(H10:AH10)</f>
        <v>1507124.48</v>
      </c>
      <c r="G10" s="241">
        <f>C10-F10</f>
        <v>37655.520000000019</v>
      </c>
      <c r="H10" s="256"/>
      <c r="I10" s="256"/>
      <c r="J10" s="256"/>
      <c r="K10" s="257"/>
      <c r="L10" s="257">
        <v>108797.34</v>
      </c>
      <c r="M10" s="257">
        <v>106251.12</v>
      </c>
      <c r="N10" s="257">
        <v>106067.73</v>
      </c>
      <c r="O10" s="257">
        <v>108353.21</v>
      </c>
      <c r="P10" s="257">
        <v>107246.7</v>
      </c>
      <c r="Q10" s="257">
        <v>110168.55</v>
      </c>
      <c r="R10" s="257">
        <v>112319.36</v>
      </c>
      <c r="S10" s="257">
        <v>130448.76</v>
      </c>
      <c r="T10" s="257">
        <v>101790.38</v>
      </c>
      <c r="U10" s="257">
        <v>5937.92</v>
      </c>
      <c r="V10" s="257">
        <v>24063.54</v>
      </c>
      <c r="W10" s="257">
        <f>483614.08+2065.79</f>
        <v>485679.87</v>
      </c>
      <c r="X10" s="257"/>
      <c r="Y10" s="242"/>
      <c r="Z10" s="242"/>
      <c r="AA10" s="242"/>
      <c r="AB10" s="242"/>
      <c r="AC10" s="133"/>
      <c r="AD10" s="133"/>
      <c r="AE10" s="133"/>
      <c r="AF10" s="133"/>
      <c r="AG10" s="133"/>
      <c r="AH10" s="133"/>
      <c r="AI10" s="44"/>
      <c r="AJ10" s="44"/>
    </row>
    <row r="11" spans="1:36" s="120" customFormat="1" ht="18.600000000000001" thickBot="1" x14ac:dyDescent="0.4">
      <c r="A11" s="138" t="s">
        <v>82</v>
      </c>
      <c r="B11" s="69" t="s">
        <v>83</v>
      </c>
      <c r="C11" s="241">
        <v>652300</v>
      </c>
      <c r="D11" s="228">
        <v>0</v>
      </c>
      <c r="E11" s="228">
        <f>C11</f>
        <v>652300</v>
      </c>
      <c r="F11" s="241">
        <f>SUM(H11:AH11)</f>
        <v>545458.60000000009</v>
      </c>
      <c r="G11" s="241">
        <f t="shared" ref="G11:G14" si="0">C11-F11</f>
        <v>106841.39999999991</v>
      </c>
      <c r="H11" s="257"/>
      <c r="I11" s="257"/>
      <c r="J11" s="257"/>
      <c r="K11" s="257"/>
      <c r="L11" s="257"/>
      <c r="M11" s="257">
        <v>79990.820000000007</v>
      </c>
      <c r="N11" s="257"/>
      <c r="O11" s="257">
        <v>83440.58</v>
      </c>
      <c r="P11" s="257">
        <v>42862.879999999997</v>
      </c>
      <c r="Q11" s="257">
        <v>42584.2</v>
      </c>
      <c r="R11" s="257">
        <v>45996.17</v>
      </c>
      <c r="S11" s="257">
        <v>50338.1</v>
      </c>
      <c r="T11" s="257"/>
      <c r="U11" s="257"/>
      <c r="V11" s="257">
        <v>62120.02</v>
      </c>
      <c r="W11" s="257">
        <v>134118.31</v>
      </c>
      <c r="X11" s="257">
        <v>4007.52</v>
      </c>
      <c r="Y11" s="242"/>
      <c r="Z11" s="242"/>
      <c r="AA11" s="242"/>
      <c r="AB11" s="242"/>
      <c r="AC11" s="133"/>
      <c r="AD11" s="133"/>
      <c r="AE11" s="133"/>
      <c r="AF11" s="133"/>
      <c r="AG11" s="133"/>
      <c r="AH11" s="133"/>
      <c r="AI11" s="44"/>
      <c r="AJ11" s="44"/>
    </row>
    <row r="12" spans="1:36" s="120" customFormat="1" ht="18.600000000000001" thickBot="1" x14ac:dyDescent="0.4">
      <c r="A12" s="138">
        <v>2700</v>
      </c>
      <c r="B12" s="69" t="s">
        <v>372</v>
      </c>
      <c r="C12" s="241">
        <v>684858</v>
      </c>
      <c r="D12" s="228">
        <v>0</v>
      </c>
      <c r="E12" s="228">
        <f>C12</f>
        <v>684858</v>
      </c>
      <c r="F12" s="241">
        <f t="shared" ref="F12" si="1">SUM(H12:AH12)</f>
        <v>459850.87</v>
      </c>
      <c r="G12" s="241">
        <f t="shared" si="0"/>
        <v>225007.13</v>
      </c>
      <c r="H12" s="257"/>
      <c r="I12" s="257"/>
      <c r="J12" s="257"/>
      <c r="K12" s="257"/>
      <c r="L12" s="257"/>
      <c r="M12" s="257">
        <v>80183.23</v>
      </c>
      <c r="N12" s="257"/>
      <c r="O12" s="257">
        <f>30082.34+34608.9</f>
        <v>64691.240000000005</v>
      </c>
      <c r="P12" s="257"/>
      <c r="Q12" s="257">
        <f>60542.41+4923.87+23633.66</f>
        <v>89099.94</v>
      </c>
      <c r="R12" s="257"/>
      <c r="S12" s="257">
        <v>32932.699999999997</v>
      </c>
      <c r="T12" s="257">
        <v>33743.29</v>
      </c>
      <c r="U12" s="257">
        <v>39510.949999999997</v>
      </c>
      <c r="V12" s="257">
        <v>38497.81</v>
      </c>
      <c r="W12" s="257">
        <v>37597.589999999997</v>
      </c>
      <c r="X12" s="257">
        <v>43594.12</v>
      </c>
      <c r="Y12" s="242"/>
      <c r="Z12" s="242"/>
      <c r="AA12" s="242"/>
      <c r="AB12" s="242"/>
      <c r="AC12" s="133"/>
      <c r="AD12" s="133"/>
      <c r="AE12" s="133"/>
      <c r="AF12" s="133"/>
      <c r="AG12" s="133"/>
      <c r="AH12" s="133"/>
      <c r="AI12" s="44"/>
      <c r="AJ12" s="44"/>
    </row>
    <row r="13" spans="1:36" s="120" customFormat="1" ht="29.4" thickBot="1" x14ac:dyDescent="0.4">
      <c r="A13" s="138" t="s">
        <v>35</v>
      </c>
      <c r="B13" s="69" t="s">
        <v>85</v>
      </c>
      <c r="C13" s="241">
        <v>2200000</v>
      </c>
      <c r="D13" s="228">
        <v>0</v>
      </c>
      <c r="E13" s="228">
        <f>C13</f>
        <v>2200000</v>
      </c>
      <c r="F13" s="241">
        <f>SUM(H13:AH13)</f>
        <v>2151300</v>
      </c>
      <c r="G13" s="241">
        <f t="shared" si="0"/>
        <v>48700</v>
      </c>
      <c r="H13" s="257"/>
      <c r="I13" s="257"/>
      <c r="J13" s="257"/>
      <c r="K13" s="257">
        <v>101249</v>
      </c>
      <c r="L13" s="257">
        <v>106208</v>
      </c>
      <c r="M13" s="257">
        <v>148609</v>
      </c>
      <c r="N13" s="257">
        <v>121461</v>
      </c>
      <c r="O13" s="257">
        <v>111077</v>
      </c>
      <c r="P13" s="257">
        <v>172574</v>
      </c>
      <c r="Q13" s="257">
        <v>142405</v>
      </c>
      <c r="R13" s="257">
        <v>161402</v>
      </c>
      <c r="S13" s="257">
        <v>162585</v>
      </c>
      <c r="T13" s="257">
        <v>182858</v>
      </c>
      <c r="U13" s="257">
        <v>172945</v>
      </c>
      <c r="V13" s="257">
        <v>222460</v>
      </c>
      <c r="W13" s="257">
        <v>137879</v>
      </c>
      <c r="X13" s="257">
        <v>207588</v>
      </c>
      <c r="Y13" s="242"/>
      <c r="Z13" s="242"/>
      <c r="AA13" s="242"/>
      <c r="AB13" s="242"/>
      <c r="AC13" s="133"/>
      <c r="AD13" s="133"/>
      <c r="AE13" s="133"/>
      <c r="AF13" s="133"/>
      <c r="AG13" s="133"/>
      <c r="AH13" s="133"/>
      <c r="AI13" s="44"/>
      <c r="AJ13" s="44"/>
    </row>
    <row r="14" spans="1:36" s="120" customFormat="1" ht="18.600000000000001" thickBot="1" x14ac:dyDescent="0.4">
      <c r="A14" s="138" t="s">
        <v>137</v>
      </c>
      <c r="B14" s="69" t="s">
        <v>245</v>
      </c>
      <c r="C14" s="241">
        <v>879392</v>
      </c>
      <c r="D14" s="228"/>
      <c r="E14" s="228">
        <f>C14</f>
        <v>879392</v>
      </c>
      <c r="F14" s="241">
        <f>SUM(H14:AH14)</f>
        <v>750999</v>
      </c>
      <c r="G14" s="241">
        <f t="shared" si="0"/>
        <v>128393</v>
      </c>
      <c r="H14" s="257"/>
      <c r="I14" s="257"/>
      <c r="J14" s="257"/>
      <c r="K14" s="257"/>
      <c r="L14" s="257">
        <v>36605.86</v>
      </c>
      <c r="M14" s="257">
        <v>42693.96</v>
      </c>
      <c r="N14" s="257"/>
      <c r="O14" s="257">
        <f>42796.65+40153.91</f>
        <v>82950.559999999998</v>
      </c>
      <c r="P14" s="257">
        <v>64777.96</v>
      </c>
      <c r="Q14" s="257">
        <v>52248.93</v>
      </c>
      <c r="R14" s="257">
        <v>55901.74</v>
      </c>
      <c r="S14" s="257">
        <f>18234.7+57011.03</f>
        <v>75245.73</v>
      </c>
      <c r="T14" s="257">
        <v>113522.84</v>
      </c>
      <c r="U14" s="257"/>
      <c r="V14" s="257">
        <v>39222.74</v>
      </c>
      <c r="W14" s="257">
        <v>53356.77</v>
      </c>
      <c r="X14" s="257">
        <f>69436.99+65034.92</f>
        <v>134471.91</v>
      </c>
      <c r="Y14" s="242"/>
      <c r="Z14" s="242"/>
      <c r="AA14" s="242"/>
      <c r="AB14" s="242"/>
      <c r="AC14" s="133"/>
      <c r="AD14" s="133"/>
      <c r="AE14" s="133"/>
      <c r="AF14" s="133"/>
      <c r="AG14" s="133"/>
      <c r="AH14" s="133"/>
      <c r="AI14" s="44"/>
      <c r="AJ14" s="44"/>
    </row>
    <row r="15" spans="1:36" ht="15" thickBot="1" x14ac:dyDescent="0.35">
      <c r="A15" s="69"/>
      <c r="B15" s="69"/>
      <c r="C15" s="243"/>
      <c r="D15" s="243"/>
      <c r="E15" s="243"/>
      <c r="F15" s="243"/>
      <c r="G15" s="243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133"/>
      <c r="AD15" s="133"/>
      <c r="AE15" s="133"/>
      <c r="AF15" s="133"/>
      <c r="AG15" s="133"/>
      <c r="AH15" s="133"/>
      <c r="AI15" s="75"/>
      <c r="AJ15" s="75"/>
    </row>
    <row r="16" spans="1:36" s="119" customFormat="1" ht="15" thickBot="1" x14ac:dyDescent="0.35">
      <c r="A16" s="71" t="s">
        <v>46</v>
      </c>
      <c r="B16" s="71"/>
      <c r="C16" s="244">
        <f>SUM(C10:C14)</f>
        <v>5961330</v>
      </c>
      <c r="D16" s="244">
        <v>0</v>
      </c>
      <c r="E16" s="244">
        <f>C16+D16</f>
        <v>5961330</v>
      </c>
      <c r="F16" s="244">
        <f t="shared" ref="F16:AJ16" si="2">SUM(F10:F14)</f>
        <v>5414732.9500000002</v>
      </c>
      <c r="G16" s="244">
        <f t="shared" si="2"/>
        <v>546597.04999999993</v>
      </c>
      <c r="H16" s="244">
        <f t="shared" si="2"/>
        <v>0</v>
      </c>
      <c r="I16" s="244">
        <f t="shared" si="2"/>
        <v>0</v>
      </c>
      <c r="J16" s="244">
        <f t="shared" si="2"/>
        <v>0</v>
      </c>
      <c r="K16" s="244">
        <f t="shared" si="2"/>
        <v>101249</v>
      </c>
      <c r="L16" s="244">
        <f t="shared" si="2"/>
        <v>251611.2</v>
      </c>
      <c r="M16" s="244">
        <f t="shared" si="2"/>
        <v>457728.13</v>
      </c>
      <c r="N16" s="244">
        <f t="shared" si="2"/>
        <v>227528.72999999998</v>
      </c>
      <c r="O16" s="244">
        <f t="shared" si="2"/>
        <v>450512.59</v>
      </c>
      <c r="P16" s="244">
        <f t="shared" si="2"/>
        <v>387461.54</v>
      </c>
      <c r="Q16" s="244">
        <f>SUM(Q10:Q14)</f>
        <v>436506.62</v>
      </c>
      <c r="R16" s="244">
        <f t="shared" si="2"/>
        <v>375619.27</v>
      </c>
      <c r="S16" s="244">
        <f t="shared" si="2"/>
        <v>451550.29</v>
      </c>
      <c r="T16" s="244">
        <f t="shared" si="2"/>
        <v>431914.51</v>
      </c>
      <c r="U16" s="244">
        <f t="shared" si="2"/>
        <v>218393.87</v>
      </c>
      <c r="V16" s="244">
        <f t="shared" si="2"/>
        <v>386364.11</v>
      </c>
      <c r="W16" s="244">
        <f t="shared" si="2"/>
        <v>848631.53999999992</v>
      </c>
      <c r="X16" s="244">
        <f t="shared" si="2"/>
        <v>389661.55000000005</v>
      </c>
      <c r="Y16" s="244">
        <f t="shared" si="2"/>
        <v>0</v>
      </c>
      <c r="Z16" s="244">
        <f t="shared" si="2"/>
        <v>0</v>
      </c>
      <c r="AA16" s="244">
        <f t="shared" si="2"/>
        <v>0</v>
      </c>
      <c r="AB16" s="244">
        <f t="shared" si="2"/>
        <v>0</v>
      </c>
      <c r="AC16" s="71">
        <f t="shared" si="2"/>
        <v>0</v>
      </c>
      <c r="AD16" s="71">
        <f t="shared" si="2"/>
        <v>0</v>
      </c>
      <c r="AE16" s="71">
        <f t="shared" si="2"/>
        <v>0</v>
      </c>
      <c r="AF16" s="71">
        <f t="shared" si="2"/>
        <v>0</v>
      </c>
      <c r="AG16" s="71">
        <f t="shared" si="2"/>
        <v>0</v>
      </c>
      <c r="AH16" s="71">
        <f t="shared" si="2"/>
        <v>0</v>
      </c>
      <c r="AI16" s="71">
        <f t="shared" si="2"/>
        <v>0</v>
      </c>
      <c r="AJ16" s="71">
        <f t="shared" si="2"/>
        <v>0</v>
      </c>
    </row>
    <row r="17" spans="3:36" x14ac:dyDescent="0.3"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I17" s="75"/>
      <c r="AJ17" s="75"/>
    </row>
    <row r="18" spans="3:36" x14ac:dyDescent="0.3"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</row>
    <row r="19" spans="3:36" x14ac:dyDescent="0.3"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</row>
    <row r="20" spans="3:36" x14ac:dyDescent="0.3"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</row>
    <row r="21" spans="3:36" x14ac:dyDescent="0.3"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I21" s="75"/>
      <c r="AJ21" s="75"/>
    </row>
    <row r="23" spans="3:36" x14ac:dyDescent="0.3">
      <c r="AI23" s="75"/>
      <c r="AJ23" s="75"/>
    </row>
    <row r="27" spans="3:36" x14ac:dyDescent="0.3">
      <c r="AI27" s="75"/>
      <c r="AJ27" s="75"/>
    </row>
    <row r="28" spans="3:36" x14ac:dyDescent="0.3">
      <c r="AI28" s="75"/>
      <c r="AJ28" s="75"/>
    </row>
    <row r="33" spans="35:36" x14ac:dyDescent="0.3">
      <c r="AI33" s="75"/>
      <c r="AJ33" s="75"/>
    </row>
    <row r="34" spans="35:36" x14ac:dyDescent="0.3">
      <c r="AI34" s="75"/>
      <c r="AJ34" s="75"/>
    </row>
    <row r="36" spans="35:36" x14ac:dyDescent="0.3">
      <c r="AI36" s="75"/>
      <c r="AJ36" s="75"/>
    </row>
    <row r="39" spans="35:36" x14ac:dyDescent="0.3">
      <c r="AI39" s="30"/>
      <c r="AJ39" s="30"/>
    </row>
    <row r="40" spans="35:36" x14ac:dyDescent="0.3">
      <c r="AI40" s="30"/>
      <c r="AJ40" s="30"/>
    </row>
    <row r="41" spans="35:36" x14ac:dyDescent="0.3">
      <c r="AI41" s="30"/>
      <c r="AJ41" s="30"/>
    </row>
    <row r="42" spans="35:36" x14ac:dyDescent="0.3">
      <c r="AI42" s="30"/>
      <c r="AJ42" s="30"/>
    </row>
    <row r="43" spans="35:36" x14ac:dyDescent="0.3">
      <c r="AI43" s="30"/>
      <c r="AJ43" s="30"/>
    </row>
    <row r="44" spans="35:36" x14ac:dyDescent="0.3">
      <c r="AI44" s="30"/>
      <c r="AJ44" s="30"/>
    </row>
    <row r="45" spans="35:36" x14ac:dyDescent="0.3">
      <c r="AI45" s="30"/>
      <c r="AJ45" s="30"/>
    </row>
    <row r="46" spans="35:36" x14ac:dyDescent="0.3">
      <c r="AI46" s="30"/>
      <c r="AJ46" s="30"/>
    </row>
    <row r="47" spans="35:36" x14ac:dyDescent="0.3">
      <c r="AI47" s="30"/>
      <c r="AJ47" s="30"/>
    </row>
    <row r="48" spans="35:36" x14ac:dyDescent="0.3">
      <c r="AI48" s="30"/>
      <c r="AJ48" s="30"/>
    </row>
    <row r="49" spans="35:36" x14ac:dyDescent="0.3">
      <c r="AI49" s="30"/>
      <c r="AJ49" s="30"/>
    </row>
    <row r="50" spans="35:36" x14ac:dyDescent="0.3">
      <c r="AI50" s="30"/>
      <c r="AJ50" s="30"/>
    </row>
    <row r="51" spans="35:36" x14ac:dyDescent="0.3">
      <c r="AI51" s="30"/>
      <c r="AJ51" s="30"/>
    </row>
    <row r="52" spans="35:36" x14ac:dyDescent="0.3">
      <c r="AI52" s="30"/>
      <c r="AJ52" s="30"/>
    </row>
  </sheetData>
  <sheetProtection algorithmName="SHA-512" hashValue="4hLC0wLxBDE4vUIKUsqsqqOMOjYMYBujqMn6hijiJd+WL7IjBKTddJlHeCmSJza71ZCrghOK4LtJ04Ts38W5PQ==" saltValue="p76EDRAtNpoMf8cCC3918A==" spinCount="100000" sheet="1" objects="1" scenarios="1"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>
    <tabColor theme="2"/>
  </sheetPr>
  <dimension ref="A1:AK56"/>
  <sheetViews>
    <sheetView workbookViewId="0">
      <pane xSplit="8" ySplit="8" topLeftCell="AK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G21" sqref="G21"/>
    </sheetView>
  </sheetViews>
  <sheetFormatPr defaultColWidth="8.5546875" defaultRowHeight="14.4" x14ac:dyDescent="0.3"/>
  <cols>
    <col min="1" max="1" width="8.5546875" style="36"/>
    <col min="2" max="2" width="36.5546875" style="44" customWidth="1"/>
    <col min="3" max="4" width="13.5546875" style="45" customWidth="1"/>
    <col min="5" max="5" width="15.44140625" style="45" customWidth="1"/>
    <col min="6" max="7" width="13.5546875" style="45" customWidth="1"/>
    <col min="8" max="8" width="17.5546875" style="45" customWidth="1"/>
    <col min="9" max="35" width="15.5546875" style="91" customWidth="1"/>
    <col min="36" max="37" width="21.44140625" style="44" customWidth="1"/>
    <col min="38" max="16384" width="8.5546875" style="44"/>
  </cols>
  <sheetData>
    <row r="1" spans="1:37" s="45" customFormat="1" ht="21" x14ac:dyDescent="0.4">
      <c r="A1" s="32" t="s">
        <v>0</v>
      </c>
      <c r="B1" s="53"/>
      <c r="C1" s="48" t="s">
        <v>26</v>
      </c>
      <c r="D1" s="48"/>
      <c r="E1" s="48"/>
      <c r="F1" s="48"/>
      <c r="G1" s="47"/>
      <c r="H1" s="49"/>
      <c r="I1" s="79"/>
      <c r="J1" s="79"/>
      <c r="K1" s="79"/>
      <c r="L1" s="79"/>
      <c r="M1" s="48" t="str">
        <f>C1</f>
        <v>Title II-B Math &amp; Science Partnerships</v>
      </c>
      <c r="N1" s="79"/>
      <c r="O1" s="79"/>
      <c r="P1" s="79"/>
      <c r="Q1" s="79"/>
      <c r="R1" s="79"/>
      <c r="S1" s="48" t="s">
        <v>26</v>
      </c>
      <c r="T1" s="79"/>
      <c r="U1" s="79"/>
      <c r="V1" s="79"/>
      <c r="W1" s="79"/>
      <c r="X1" s="79"/>
      <c r="Y1" s="79"/>
      <c r="Z1" s="48" t="str">
        <f>$C$1</f>
        <v>Title II-B Math &amp; Science Partnerships</v>
      </c>
      <c r="AA1" s="79"/>
      <c r="AB1" s="48"/>
      <c r="AC1" s="79"/>
      <c r="AD1" s="79"/>
      <c r="AE1" s="79"/>
      <c r="AF1" s="79"/>
      <c r="AG1" s="48" t="str">
        <f>$C$1</f>
        <v>Title II-B Math &amp; Science Partnerships</v>
      </c>
      <c r="AH1" s="79"/>
      <c r="AI1" s="79"/>
      <c r="AJ1" s="47"/>
      <c r="AK1" s="47"/>
    </row>
    <row r="2" spans="1:37" s="45" customFormat="1" ht="21" x14ac:dyDescent="0.4">
      <c r="A2" s="32" t="s">
        <v>147</v>
      </c>
      <c r="B2" s="49"/>
      <c r="C2" s="48" t="s">
        <v>156</v>
      </c>
      <c r="D2" s="51"/>
      <c r="E2" s="51"/>
      <c r="F2" s="51"/>
      <c r="G2" s="50"/>
      <c r="H2" s="19"/>
      <c r="I2" s="136"/>
      <c r="J2" s="136"/>
      <c r="K2" s="136"/>
      <c r="L2" s="136"/>
      <c r="M2" s="135" t="str">
        <f>"FY"&amp;C4</f>
        <v>FY2018-19</v>
      </c>
      <c r="N2" s="136"/>
      <c r="O2" s="136"/>
      <c r="P2" s="136"/>
      <c r="Q2" s="136"/>
      <c r="R2" s="136"/>
      <c r="S2" s="135" t="str">
        <f>"FY"&amp;C4</f>
        <v>FY2018-19</v>
      </c>
      <c r="T2" s="136"/>
      <c r="U2" s="136"/>
      <c r="V2" s="136"/>
      <c r="W2" s="136"/>
      <c r="X2" s="136"/>
      <c r="Y2" s="136"/>
      <c r="Z2" s="135" t="str">
        <f>"FY"&amp;$C$4</f>
        <v>FY2018-19</v>
      </c>
      <c r="AA2" s="136"/>
      <c r="AB2" s="135"/>
      <c r="AC2" s="136"/>
      <c r="AD2" s="136"/>
      <c r="AE2" s="136"/>
      <c r="AF2" s="136"/>
      <c r="AG2" s="135" t="str">
        <f>"FY"&amp;$C$4</f>
        <v>FY2018-19</v>
      </c>
      <c r="AH2" s="79"/>
      <c r="AI2" s="79"/>
      <c r="AJ2" s="47"/>
      <c r="AK2" s="47"/>
    </row>
    <row r="3" spans="1:37" s="45" customFormat="1" ht="16.350000000000001" customHeight="1" x14ac:dyDescent="0.3">
      <c r="A3" s="33" t="s">
        <v>1</v>
      </c>
      <c r="B3" s="53"/>
      <c r="C3" s="51">
        <v>5366</v>
      </c>
      <c r="D3" s="51"/>
      <c r="E3" s="51"/>
      <c r="F3" s="51"/>
      <c r="G3" s="50"/>
      <c r="H3" s="1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54"/>
      <c r="AK3" s="54"/>
    </row>
    <row r="4" spans="1:37" s="45" customFormat="1" ht="16.350000000000001" customHeight="1" x14ac:dyDescent="0.4">
      <c r="A4" s="33" t="s">
        <v>2</v>
      </c>
      <c r="B4" s="53"/>
      <c r="C4" s="51" t="s">
        <v>162</v>
      </c>
      <c r="D4" s="48"/>
      <c r="E4" s="48"/>
      <c r="F4" s="48"/>
      <c r="G4" s="19"/>
      <c r="H4" s="1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54"/>
      <c r="AK4" s="54"/>
    </row>
    <row r="5" spans="1:37" s="45" customFormat="1" ht="16.350000000000001" customHeight="1" x14ac:dyDescent="0.3">
      <c r="A5" s="33" t="s">
        <v>18</v>
      </c>
      <c r="B5" s="53"/>
      <c r="C5" s="50" t="s">
        <v>231</v>
      </c>
      <c r="D5" s="50"/>
      <c r="E5" s="50"/>
      <c r="F5" s="50"/>
      <c r="G5" s="19"/>
      <c r="H5" s="19"/>
      <c r="I5" s="80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52"/>
      <c r="AK5" s="52"/>
    </row>
    <row r="6" spans="1:37" s="45" customFormat="1" ht="16.350000000000001" customHeight="1" x14ac:dyDescent="0.3">
      <c r="A6" s="33" t="s">
        <v>19</v>
      </c>
      <c r="B6" s="53"/>
      <c r="C6" s="51" t="s">
        <v>32</v>
      </c>
      <c r="D6" s="51"/>
      <c r="E6" s="51"/>
      <c r="F6" s="51"/>
      <c r="G6" s="19"/>
      <c r="H6" s="19"/>
      <c r="I6" s="80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52"/>
      <c r="AK6" s="52"/>
    </row>
    <row r="7" spans="1:37" s="45" customFormat="1" ht="16.350000000000001" customHeight="1" thickBot="1" x14ac:dyDescent="0.45">
      <c r="A7" s="32"/>
      <c r="B7" s="53"/>
      <c r="C7" s="51"/>
      <c r="D7" s="51"/>
      <c r="E7" s="51"/>
      <c r="F7" s="51"/>
      <c r="G7" s="19"/>
      <c r="H7" s="19"/>
      <c r="I7" s="80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52"/>
      <c r="AK7" s="52"/>
    </row>
    <row r="8" spans="1:37" ht="29.4" thickBot="1" x14ac:dyDescent="0.35">
      <c r="A8" s="34" t="s">
        <v>138</v>
      </c>
      <c r="B8" s="12" t="s">
        <v>132</v>
      </c>
      <c r="C8" s="12" t="s">
        <v>15</v>
      </c>
      <c r="D8" s="12" t="s">
        <v>105</v>
      </c>
      <c r="E8" s="12" t="s">
        <v>159</v>
      </c>
      <c r="F8" s="12" t="s">
        <v>140</v>
      </c>
      <c r="G8" s="12" t="s">
        <v>16</v>
      </c>
      <c r="H8" s="10" t="s">
        <v>17</v>
      </c>
      <c r="I8" s="134" t="s">
        <v>62</v>
      </c>
      <c r="J8" s="134" t="s">
        <v>63</v>
      </c>
      <c r="K8" s="134" t="s">
        <v>64</v>
      </c>
      <c r="L8" s="134" t="s">
        <v>118</v>
      </c>
      <c r="M8" s="134" t="s">
        <v>119</v>
      </c>
      <c r="N8" s="134" t="s">
        <v>129</v>
      </c>
      <c r="O8" s="134" t="s">
        <v>120</v>
      </c>
      <c r="P8" s="134" t="s">
        <v>121</v>
      </c>
      <c r="Q8" s="134" t="s">
        <v>122</v>
      </c>
      <c r="R8" s="134" t="s">
        <v>123</v>
      </c>
      <c r="S8" s="134" t="s">
        <v>124</v>
      </c>
      <c r="T8" s="134" t="s">
        <v>125</v>
      </c>
      <c r="U8" s="134" t="s">
        <v>126</v>
      </c>
      <c r="V8" s="134" t="s">
        <v>127</v>
      </c>
      <c r="W8" s="134" t="s">
        <v>128</v>
      </c>
      <c r="X8" s="55" t="s">
        <v>163</v>
      </c>
      <c r="Y8" s="59" t="s">
        <v>164</v>
      </c>
      <c r="Z8" s="55" t="s">
        <v>130</v>
      </c>
      <c r="AA8" s="55" t="s">
        <v>232</v>
      </c>
      <c r="AB8" s="55" t="s">
        <v>233</v>
      </c>
      <c r="AC8" s="55" t="s">
        <v>234</v>
      </c>
      <c r="AD8" s="55" t="s">
        <v>235</v>
      </c>
      <c r="AE8" s="55" t="s">
        <v>236</v>
      </c>
      <c r="AF8" s="55" t="s">
        <v>237</v>
      </c>
      <c r="AG8" s="59" t="s">
        <v>238</v>
      </c>
      <c r="AH8" s="55" t="s">
        <v>239</v>
      </c>
      <c r="AI8" s="55" t="s">
        <v>240</v>
      </c>
      <c r="AJ8" s="55" t="s">
        <v>157</v>
      </c>
      <c r="AK8" s="55" t="s">
        <v>158</v>
      </c>
    </row>
    <row r="9" spans="1:37" s="21" customFormat="1" ht="15" thickBot="1" x14ac:dyDescent="0.35">
      <c r="A9" s="81"/>
      <c r="B9" s="82"/>
      <c r="C9" s="83">
        <v>0</v>
      </c>
      <c r="D9" s="83"/>
      <c r="E9" s="83"/>
      <c r="F9" s="83">
        <f>C9+D9+E9</f>
        <v>0</v>
      </c>
      <c r="G9" s="100">
        <f>SUM(I9:AI9)</f>
        <v>0</v>
      </c>
      <c r="H9" s="83">
        <f t="shared" ref="H9:H11" si="0">F9-G9</f>
        <v>0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44"/>
      <c r="AK9" s="44"/>
    </row>
    <row r="10" spans="1:37" s="21" customFormat="1" ht="15" thickBot="1" x14ac:dyDescent="0.35">
      <c r="A10" s="81"/>
      <c r="B10" s="82"/>
      <c r="C10" s="83">
        <v>0</v>
      </c>
      <c r="D10" s="83"/>
      <c r="E10" s="83"/>
      <c r="F10" s="83">
        <f t="shared" ref="F10:F14" si="1">C10+D10+E10</f>
        <v>0</v>
      </c>
      <c r="G10" s="100">
        <f t="shared" ref="G10:G14" si="2">SUM(I10:AI10)</f>
        <v>0</v>
      </c>
      <c r="H10" s="83">
        <f t="shared" si="0"/>
        <v>0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44"/>
      <c r="AK10" s="44"/>
    </row>
    <row r="11" spans="1:37" s="21" customFormat="1" ht="15" thickBot="1" x14ac:dyDescent="0.35">
      <c r="A11" s="81"/>
      <c r="B11" s="82"/>
      <c r="C11" s="83">
        <v>0</v>
      </c>
      <c r="D11" s="83"/>
      <c r="E11" s="83"/>
      <c r="F11" s="83">
        <f t="shared" si="1"/>
        <v>0</v>
      </c>
      <c r="G11" s="100">
        <f t="shared" si="2"/>
        <v>0</v>
      </c>
      <c r="H11" s="83">
        <f t="shared" si="0"/>
        <v>0</v>
      </c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44"/>
      <c r="AK11" s="44"/>
    </row>
    <row r="12" spans="1:37" s="147" customFormat="1" ht="15" thickBot="1" x14ac:dyDescent="0.35">
      <c r="A12" s="143"/>
      <c r="B12" s="82"/>
      <c r="C12" s="144">
        <v>0</v>
      </c>
      <c r="D12" s="144"/>
      <c r="E12" s="83"/>
      <c r="F12" s="83">
        <f t="shared" si="1"/>
        <v>0</v>
      </c>
      <c r="G12" s="145">
        <f t="shared" si="2"/>
        <v>0</v>
      </c>
      <c r="H12" s="144">
        <f>F12-G12</f>
        <v>0</v>
      </c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8"/>
      <c r="AK12" s="38"/>
    </row>
    <row r="13" spans="1:37" s="21" customFormat="1" ht="15" thickBot="1" x14ac:dyDescent="0.35">
      <c r="A13" s="81"/>
      <c r="B13" s="82"/>
      <c r="C13" s="83">
        <v>0</v>
      </c>
      <c r="D13" s="83"/>
      <c r="E13" s="83"/>
      <c r="F13" s="83">
        <f t="shared" si="1"/>
        <v>0</v>
      </c>
      <c r="G13" s="100">
        <f t="shared" si="2"/>
        <v>0</v>
      </c>
      <c r="H13" s="83">
        <f t="shared" ref="H13" si="3">F13-G13</f>
        <v>0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44"/>
      <c r="AK13" s="44"/>
    </row>
    <row r="14" spans="1:37" s="21" customFormat="1" ht="15" thickBot="1" x14ac:dyDescent="0.35">
      <c r="A14" s="81"/>
      <c r="B14" s="82"/>
      <c r="C14" s="83">
        <v>0</v>
      </c>
      <c r="D14" s="83"/>
      <c r="E14" s="83"/>
      <c r="F14" s="83">
        <f t="shared" si="1"/>
        <v>0</v>
      </c>
      <c r="G14" s="100">
        <f t="shared" si="2"/>
        <v>0</v>
      </c>
      <c r="H14" s="83">
        <f>F14-G14</f>
        <v>0</v>
      </c>
      <c r="I14" s="84"/>
      <c r="J14" s="101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75"/>
      <c r="AK14" s="75"/>
    </row>
    <row r="15" spans="1:37" s="21" customFormat="1" ht="15" thickBot="1" x14ac:dyDescent="0.35">
      <c r="A15" s="81"/>
      <c r="B15" s="82"/>
      <c r="C15" s="83"/>
      <c r="D15" s="83"/>
      <c r="E15" s="83"/>
      <c r="F15" s="118"/>
      <c r="G15" s="85"/>
      <c r="H15" s="8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75"/>
      <c r="AK15" s="75"/>
    </row>
    <row r="16" spans="1:37" s="14" customFormat="1" ht="15" thickBot="1" x14ac:dyDescent="0.35">
      <c r="A16" s="86" t="s">
        <v>46</v>
      </c>
      <c r="B16" s="22"/>
      <c r="C16" s="87">
        <f>SUM(C9:C14)</f>
        <v>0</v>
      </c>
      <c r="D16" s="87">
        <f>SUM(D9:D14)</f>
        <v>0</v>
      </c>
      <c r="E16" s="83"/>
      <c r="F16" s="87">
        <f>SUM(F9:F14)</f>
        <v>0</v>
      </c>
      <c r="G16" s="102">
        <f t="shared" ref="G16:AK16" si="4">SUM(G9:G14)</f>
        <v>0</v>
      </c>
      <c r="H16" s="102">
        <f t="shared" si="4"/>
        <v>0</v>
      </c>
      <c r="I16" s="87">
        <f t="shared" si="4"/>
        <v>0</v>
      </c>
      <c r="J16" s="102">
        <f t="shared" si="4"/>
        <v>0</v>
      </c>
      <c r="K16" s="87">
        <f t="shared" si="4"/>
        <v>0</v>
      </c>
      <c r="L16" s="87">
        <f t="shared" si="4"/>
        <v>0</v>
      </c>
      <c r="M16" s="87">
        <f t="shared" si="4"/>
        <v>0</v>
      </c>
      <c r="N16" s="87">
        <f t="shared" si="4"/>
        <v>0</v>
      </c>
      <c r="O16" s="87">
        <f t="shared" si="4"/>
        <v>0</v>
      </c>
      <c r="P16" s="87">
        <f t="shared" si="4"/>
        <v>0</v>
      </c>
      <c r="Q16" s="87">
        <f t="shared" si="4"/>
        <v>0</v>
      </c>
      <c r="R16" s="87">
        <f t="shared" si="4"/>
        <v>0</v>
      </c>
      <c r="S16" s="87">
        <f t="shared" si="4"/>
        <v>0</v>
      </c>
      <c r="T16" s="87">
        <f t="shared" si="4"/>
        <v>0</v>
      </c>
      <c r="U16" s="87">
        <f t="shared" si="4"/>
        <v>0</v>
      </c>
      <c r="V16" s="87">
        <f t="shared" si="4"/>
        <v>0</v>
      </c>
      <c r="W16" s="87">
        <f t="shared" si="4"/>
        <v>0</v>
      </c>
      <c r="X16" s="87">
        <f t="shared" si="4"/>
        <v>0</v>
      </c>
      <c r="Y16" s="87">
        <f t="shared" si="4"/>
        <v>0</v>
      </c>
      <c r="Z16" s="87">
        <f t="shared" si="4"/>
        <v>0</v>
      </c>
      <c r="AA16" s="87">
        <f t="shared" si="4"/>
        <v>0</v>
      </c>
      <c r="AB16" s="87">
        <f t="shared" si="4"/>
        <v>0</v>
      </c>
      <c r="AC16" s="87">
        <f t="shared" si="4"/>
        <v>0</v>
      </c>
      <c r="AD16" s="87">
        <f t="shared" si="4"/>
        <v>0</v>
      </c>
      <c r="AE16" s="87">
        <f t="shared" si="4"/>
        <v>0</v>
      </c>
      <c r="AF16" s="87">
        <f t="shared" si="4"/>
        <v>0</v>
      </c>
      <c r="AG16" s="87">
        <f t="shared" si="4"/>
        <v>0</v>
      </c>
      <c r="AH16" s="87">
        <f t="shared" si="4"/>
        <v>0</v>
      </c>
      <c r="AI16" s="87">
        <f t="shared" si="4"/>
        <v>0</v>
      </c>
      <c r="AJ16" s="87">
        <f t="shared" si="4"/>
        <v>0</v>
      </c>
      <c r="AK16" s="87">
        <f t="shared" si="4"/>
        <v>0</v>
      </c>
    </row>
    <row r="17" spans="1:37" s="17" customFormat="1" x14ac:dyDescent="0.3">
      <c r="A17" s="35"/>
      <c r="C17" s="16"/>
      <c r="D17" s="16"/>
      <c r="E17" s="16"/>
      <c r="F17" s="16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44"/>
      <c r="AK17" s="44"/>
    </row>
    <row r="18" spans="1:37" s="17" customFormat="1" x14ac:dyDescent="0.3">
      <c r="A18" s="35"/>
      <c r="C18" s="16"/>
      <c r="D18" s="16"/>
      <c r="E18" s="16"/>
      <c r="F18" s="16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44"/>
      <c r="AK18" s="44"/>
    </row>
    <row r="19" spans="1:37" s="17" customFormat="1" x14ac:dyDescent="0.3">
      <c r="A19" s="35"/>
      <c r="C19" s="16"/>
      <c r="D19" s="16"/>
      <c r="E19" s="16"/>
      <c r="F19" s="16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/>
      <c r="AK19" s="75"/>
    </row>
    <row r="20" spans="1:37" s="17" customFormat="1" x14ac:dyDescent="0.3">
      <c r="A20" s="35"/>
      <c r="C20" s="16"/>
      <c r="D20" s="16"/>
      <c r="E20" s="16"/>
      <c r="F20" s="16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44"/>
      <c r="AK20" s="44"/>
    </row>
    <row r="21" spans="1:37" s="17" customFormat="1" x14ac:dyDescent="0.3">
      <c r="A21" s="35"/>
      <c r="C21" s="16"/>
      <c r="D21" s="16"/>
      <c r="E21" s="16"/>
      <c r="F21" s="16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75"/>
      <c r="AK21" s="75"/>
    </row>
    <row r="22" spans="1:37" s="17" customFormat="1" x14ac:dyDescent="0.3">
      <c r="A22" s="35"/>
      <c r="C22" s="16"/>
      <c r="D22" s="16"/>
      <c r="E22" s="16"/>
      <c r="F22" s="16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44"/>
      <c r="AK22" s="44"/>
    </row>
    <row r="23" spans="1:37" s="17" customFormat="1" x14ac:dyDescent="0.3">
      <c r="A23" s="35"/>
      <c r="C23" s="16"/>
      <c r="D23" s="16"/>
      <c r="E23" s="16"/>
      <c r="F23" s="16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44"/>
      <c r="AK23" s="44"/>
    </row>
    <row r="24" spans="1:37" s="17" customFormat="1" x14ac:dyDescent="0.3">
      <c r="A24" s="35"/>
      <c r="C24" s="16"/>
      <c r="D24" s="16"/>
      <c r="E24" s="16"/>
      <c r="F24" s="16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4"/>
      <c r="AK24" s="44"/>
    </row>
    <row r="25" spans="1:37" s="17" customFormat="1" x14ac:dyDescent="0.3">
      <c r="A25" s="35"/>
      <c r="C25" s="16"/>
      <c r="D25" s="16"/>
      <c r="E25" s="16"/>
      <c r="F25" s="16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/>
      <c r="AK25" s="75"/>
    </row>
    <row r="26" spans="1:37" s="17" customFormat="1" x14ac:dyDescent="0.3">
      <c r="A26" s="35"/>
      <c r="C26" s="16"/>
      <c r="D26" s="16"/>
      <c r="E26" s="16"/>
      <c r="F26" s="16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/>
      <c r="AK26" s="75"/>
    </row>
    <row r="27" spans="1:37" s="17" customFormat="1" x14ac:dyDescent="0.3">
      <c r="A27" s="35"/>
      <c r="C27" s="16"/>
      <c r="D27" s="16"/>
      <c r="E27" s="16"/>
      <c r="F27" s="16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44"/>
      <c r="AK27" s="44"/>
    </row>
    <row r="28" spans="1:37" s="17" customFormat="1" x14ac:dyDescent="0.3">
      <c r="A28" s="35"/>
      <c r="C28" s="16"/>
      <c r="D28" s="16"/>
      <c r="E28" s="16"/>
      <c r="F28" s="16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44"/>
      <c r="AK28" s="44"/>
    </row>
    <row r="29" spans="1:37" s="17" customFormat="1" x14ac:dyDescent="0.3">
      <c r="A29" s="35"/>
      <c r="C29" s="16"/>
      <c r="D29" s="16"/>
      <c r="E29" s="16"/>
      <c r="F29" s="16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44"/>
      <c r="AK29" s="44"/>
    </row>
    <row r="30" spans="1:37" s="17" customFormat="1" x14ac:dyDescent="0.3">
      <c r="A30" s="35"/>
      <c r="C30" s="16"/>
      <c r="D30" s="16"/>
      <c r="E30" s="16"/>
      <c r="F30" s="16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44"/>
      <c r="AK30" s="44"/>
    </row>
    <row r="31" spans="1:37" s="17" customFormat="1" x14ac:dyDescent="0.3">
      <c r="A31" s="35"/>
      <c r="C31" s="16"/>
      <c r="D31" s="16"/>
      <c r="E31" s="16"/>
      <c r="F31" s="16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/>
      <c r="AK31" s="75"/>
    </row>
    <row r="32" spans="1:37" s="17" customFormat="1" x14ac:dyDescent="0.3">
      <c r="A32" s="35"/>
      <c r="C32" s="16"/>
      <c r="D32" s="16"/>
      <c r="E32" s="16"/>
      <c r="F32" s="16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/>
      <c r="AK32" s="75"/>
    </row>
    <row r="33" spans="1:37" s="17" customFormat="1" x14ac:dyDescent="0.3">
      <c r="A33" s="35"/>
      <c r="C33" s="16"/>
      <c r="D33" s="16"/>
      <c r="E33" s="16"/>
      <c r="F33" s="16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44"/>
      <c r="AK33" s="44"/>
    </row>
    <row r="34" spans="1:37" s="17" customFormat="1" x14ac:dyDescent="0.3">
      <c r="A34" s="35"/>
      <c r="C34" s="16"/>
      <c r="D34" s="16"/>
      <c r="E34" s="16"/>
      <c r="F34" s="16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75"/>
      <c r="AK34" s="75"/>
    </row>
    <row r="35" spans="1:37" s="17" customFormat="1" x14ac:dyDescent="0.3">
      <c r="A35" s="35"/>
      <c r="C35" s="16"/>
      <c r="D35" s="16"/>
      <c r="E35" s="16"/>
      <c r="F35" s="16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44"/>
      <c r="AK35" s="44"/>
    </row>
    <row r="36" spans="1:37" s="17" customFormat="1" x14ac:dyDescent="0.3">
      <c r="A36" s="35"/>
      <c r="C36" s="16"/>
      <c r="D36" s="16"/>
      <c r="E36" s="16"/>
      <c r="F36" s="16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44"/>
      <c r="AK36" s="44"/>
    </row>
    <row r="37" spans="1:37" s="17" customFormat="1" x14ac:dyDescent="0.3">
      <c r="A37" s="35"/>
      <c r="C37" s="16"/>
      <c r="D37" s="16"/>
      <c r="E37" s="16"/>
      <c r="F37" s="16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</row>
    <row r="38" spans="1:37" s="17" customFormat="1" x14ac:dyDescent="0.3">
      <c r="A38" s="35"/>
      <c r="C38" s="16"/>
      <c r="D38" s="16"/>
      <c r="E38" s="16"/>
      <c r="F38" s="16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30"/>
      <c r="AK38" s="30"/>
    </row>
    <row r="39" spans="1:37" s="17" customFormat="1" x14ac:dyDescent="0.3">
      <c r="A39" s="35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30"/>
      <c r="AK39" s="30"/>
    </row>
    <row r="40" spans="1:37" s="17" customFormat="1" x14ac:dyDescent="0.3">
      <c r="A40" s="35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30"/>
      <c r="AK40" s="30"/>
    </row>
    <row r="41" spans="1:37" s="17" customFormat="1" x14ac:dyDescent="0.3">
      <c r="A41" s="35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30"/>
      <c r="AK41" s="30"/>
    </row>
    <row r="42" spans="1:37" s="17" customFormat="1" x14ac:dyDescent="0.3">
      <c r="A42" s="35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30"/>
      <c r="AK42" s="30"/>
    </row>
    <row r="43" spans="1:37" s="17" customFormat="1" x14ac:dyDescent="0.3">
      <c r="A43" s="35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30"/>
      <c r="AK43" s="30"/>
    </row>
    <row r="44" spans="1:37" s="17" customFormat="1" x14ac:dyDescent="0.3">
      <c r="A44" s="35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30"/>
      <c r="AK44" s="30"/>
    </row>
    <row r="45" spans="1:37" s="17" customFormat="1" x14ac:dyDescent="0.3">
      <c r="A45" s="35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30"/>
      <c r="AK45" s="30"/>
    </row>
    <row r="46" spans="1:37" s="17" customFormat="1" x14ac:dyDescent="0.3">
      <c r="A46" s="35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30"/>
      <c r="AK46" s="30"/>
    </row>
    <row r="47" spans="1:37" s="17" customFormat="1" x14ac:dyDescent="0.3">
      <c r="A47" s="35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30"/>
      <c r="AK47" s="30"/>
    </row>
    <row r="48" spans="1:37" s="17" customFormat="1" x14ac:dyDescent="0.3">
      <c r="A48" s="35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30"/>
      <c r="AK48" s="30"/>
    </row>
    <row r="49" spans="9:37" x14ac:dyDescent="0.3"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AJ49" s="30"/>
      <c r="AK49" s="30"/>
    </row>
    <row r="50" spans="9:37" x14ac:dyDescent="0.3"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AJ50" s="30"/>
      <c r="AK50" s="30"/>
    </row>
    <row r="51" spans="9:37" x14ac:dyDescent="0.3"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9:37" x14ac:dyDescent="0.3"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9:37" x14ac:dyDescent="0.3"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9:37" x14ac:dyDescent="0.3"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9:37" x14ac:dyDescent="0.3"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9:37" x14ac:dyDescent="0.3"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</sheetData>
  <sheetProtection algorithmName="SHA-512" hashValue="upr7sUHD+JzMSb8Qng3yz9GRBYde5hBxCixWXxlTna11wIP9UMjkaG7L/Be96PnFJUa+U7EuDKbnA+dgS9R/Xg==" saltValue="ziG9GptmyQV6S5VLL4B98Q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53">
    <tabColor theme="2"/>
  </sheetPr>
  <dimension ref="A1:Z22"/>
  <sheetViews>
    <sheetView zoomScale="90" zoomScaleNormal="90" workbookViewId="0">
      <pane xSplit="7" ySplit="8" topLeftCell="P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U9" sqref="U9"/>
    </sheetView>
  </sheetViews>
  <sheetFormatPr defaultColWidth="9.44140625" defaultRowHeight="14.4" x14ac:dyDescent="0.3"/>
  <cols>
    <col min="1" max="1" width="9.44140625" style="44"/>
    <col min="2" max="2" width="36.5546875" style="44" customWidth="1"/>
    <col min="3" max="6" width="14.44140625" style="44" customWidth="1"/>
    <col min="7" max="7" width="17.5546875" style="44" customWidth="1"/>
    <col min="8" max="8" width="12.44140625" style="44" customWidth="1"/>
    <col min="9" max="9" width="12.5546875" style="44" customWidth="1"/>
    <col min="10" max="10" width="12" style="44" customWidth="1"/>
    <col min="11" max="11" width="11.5546875" style="44" customWidth="1"/>
    <col min="12" max="12" width="12.44140625" style="44" customWidth="1"/>
    <col min="13" max="13" width="12.5546875" style="44" customWidth="1"/>
    <col min="14" max="14" width="12.44140625" style="44" customWidth="1"/>
    <col min="15" max="15" width="13.44140625" style="44" customWidth="1"/>
    <col min="16" max="16" width="12.44140625" style="44" customWidth="1"/>
    <col min="17" max="17" width="13.5546875" style="44" customWidth="1"/>
    <col min="18" max="18" width="12.5546875" style="44" customWidth="1"/>
    <col min="19" max="19" width="13.44140625" style="44" customWidth="1"/>
    <col min="20" max="20" width="13" style="44" customWidth="1"/>
    <col min="21" max="22" width="15.5546875" style="44" customWidth="1"/>
    <col min="23" max="23" width="12.5546875" style="44" bestFit="1" customWidth="1"/>
    <col min="24" max="24" width="15" style="44" bestFit="1" customWidth="1"/>
    <col min="25" max="25" width="14.5546875" style="44" bestFit="1" customWidth="1"/>
    <col min="26" max="26" width="12.44140625" style="44" bestFit="1" customWidth="1"/>
    <col min="27" max="16384" width="9.44140625" style="44"/>
  </cols>
  <sheetData>
    <row r="1" spans="1:26" ht="21" x14ac:dyDescent="0.4">
      <c r="A1" s="47" t="s">
        <v>0</v>
      </c>
      <c r="B1" s="53"/>
      <c r="C1" s="48" t="s">
        <v>364</v>
      </c>
      <c r="D1" s="48"/>
      <c r="E1" s="48"/>
      <c r="F1" s="47"/>
      <c r="G1" s="49"/>
      <c r="H1" s="54"/>
      <c r="I1" s="54"/>
      <c r="J1" s="48"/>
      <c r="K1" s="48"/>
      <c r="L1" s="47"/>
      <c r="M1" s="47"/>
      <c r="N1" s="48" t="str">
        <f>$C$1</f>
        <v>Title III PD</v>
      </c>
      <c r="O1" s="49"/>
      <c r="P1" s="54"/>
      <c r="Q1" s="48"/>
      <c r="R1" s="48"/>
      <c r="S1" s="48"/>
      <c r="T1" s="48" t="str">
        <f>$C$1</f>
        <v>Title III PD</v>
      </c>
      <c r="U1" s="47"/>
      <c r="V1" s="49"/>
      <c r="W1" s="49"/>
      <c r="X1" s="48"/>
      <c r="Y1" s="49"/>
      <c r="Z1" s="49"/>
    </row>
    <row r="2" spans="1:26" ht="21" x14ac:dyDescent="0.4">
      <c r="A2" s="47" t="s">
        <v>147</v>
      </c>
      <c r="B2" s="49"/>
      <c r="C2" s="47" t="s">
        <v>470</v>
      </c>
      <c r="D2" s="47"/>
      <c r="E2" s="47"/>
      <c r="F2" s="50"/>
      <c r="G2" s="19"/>
      <c r="H2" s="54"/>
      <c r="I2" s="54"/>
      <c r="J2" s="50"/>
      <c r="K2" s="48"/>
      <c r="L2" s="48" t="s">
        <v>33</v>
      </c>
      <c r="M2" s="51"/>
      <c r="N2" s="50" t="str">
        <f>"FY"&amp;$C$4</f>
        <v>FY2020-21</v>
      </c>
      <c r="O2" s="19"/>
      <c r="P2" s="19"/>
      <c r="Q2" s="50"/>
      <c r="R2" s="50"/>
      <c r="S2" s="48"/>
      <c r="T2" s="50" t="str">
        <f>"FY"&amp;$C$4</f>
        <v>FY2020-21</v>
      </c>
      <c r="U2" s="51"/>
      <c r="V2" s="19"/>
      <c r="W2" s="49"/>
      <c r="X2" s="50"/>
      <c r="Y2" s="49"/>
      <c r="Z2" s="49"/>
    </row>
    <row r="3" spans="1:26" ht="16.350000000000001" customHeight="1" x14ac:dyDescent="0.4">
      <c r="A3" s="50" t="s">
        <v>1</v>
      </c>
      <c r="B3" s="53"/>
      <c r="C3" s="51">
        <v>5365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9"/>
      <c r="X3" s="49"/>
      <c r="Y3" s="49"/>
      <c r="Z3" s="49"/>
    </row>
    <row r="4" spans="1:26" ht="16.350000000000001" customHeight="1" x14ac:dyDescent="0.4">
      <c r="A4" s="50" t="s">
        <v>2</v>
      </c>
      <c r="B4" s="53"/>
      <c r="C4" s="51" t="s">
        <v>495</v>
      </c>
      <c r="D4" s="51"/>
      <c r="E4" s="51"/>
      <c r="F4" s="19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49"/>
      <c r="X4" s="49"/>
      <c r="Y4" s="49"/>
      <c r="Z4" s="49"/>
    </row>
    <row r="5" spans="1:26" ht="16.350000000000001" customHeight="1" x14ac:dyDescent="0.4">
      <c r="A5" s="50" t="s">
        <v>468</v>
      </c>
      <c r="B5" s="53"/>
      <c r="C5" s="67" t="s">
        <v>677</v>
      </c>
      <c r="D5" s="122"/>
      <c r="E5" s="122"/>
      <c r="F5" s="50"/>
      <c r="G5" s="9"/>
      <c r="H5" s="9"/>
      <c r="I5" s="9"/>
      <c r="J5" s="9"/>
      <c r="K5" s="9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49"/>
      <c r="X5" s="49"/>
      <c r="Y5" s="49"/>
      <c r="Z5" s="49"/>
    </row>
    <row r="6" spans="1:26" ht="16.350000000000001" customHeight="1" x14ac:dyDescent="0.4">
      <c r="A6" s="50"/>
      <c r="B6" s="53"/>
      <c r="C6" s="50"/>
      <c r="D6" s="50"/>
      <c r="E6" s="50"/>
      <c r="F6" s="50"/>
      <c r="G6" s="9"/>
      <c r="H6" s="9"/>
      <c r="I6" s="9"/>
      <c r="J6" s="9"/>
      <c r="K6" s="9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49"/>
      <c r="X6" s="49"/>
      <c r="Y6" s="49"/>
      <c r="Z6" s="49"/>
    </row>
    <row r="7" spans="1:26" ht="16.350000000000001" customHeight="1" thickBot="1" x14ac:dyDescent="0.45">
      <c r="A7" s="50"/>
      <c r="B7" s="53"/>
      <c r="C7" s="50"/>
      <c r="D7" s="50"/>
      <c r="E7" s="50"/>
      <c r="F7" s="50"/>
      <c r="G7" s="9"/>
      <c r="H7" s="9"/>
      <c r="I7" s="9"/>
      <c r="J7" s="9"/>
      <c r="K7" s="9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49"/>
      <c r="X7" s="49"/>
      <c r="Y7" s="49"/>
      <c r="Z7" s="49"/>
    </row>
    <row r="8" spans="1:26" s="121" customFormat="1" ht="29.4" thickBot="1" x14ac:dyDescent="0.35">
      <c r="A8" s="55" t="s">
        <v>138</v>
      </c>
      <c r="B8" s="55" t="s">
        <v>44</v>
      </c>
      <c r="C8" s="55" t="s">
        <v>15</v>
      </c>
      <c r="D8" s="55" t="s">
        <v>105</v>
      </c>
      <c r="E8" s="55" t="s">
        <v>140</v>
      </c>
      <c r="F8" s="55" t="s">
        <v>16</v>
      </c>
      <c r="G8" s="25" t="s">
        <v>17</v>
      </c>
      <c r="H8" s="26" t="s">
        <v>238</v>
      </c>
      <c r="I8" s="27" t="s">
        <v>239</v>
      </c>
      <c r="J8" s="26" t="s">
        <v>240</v>
      </c>
      <c r="K8" s="27" t="s">
        <v>400</v>
      </c>
      <c r="L8" s="26" t="s">
        <v>401</v>
      </c>
      <c r="M8" s="27" t="s">
        <v>466</v>
      </c>
      <c r="N8" s="27" t="s">
        <v>496</v>
      </c>
      <c r="O8" s="27" t="s">
        <v>497</v>
      </c>
      <c r="P8" s="27" t="s">
        <v>498</v>
      </c>
      <c r="Q8" s="27" t="s">
        <v>499</v>
      </c>
      <c r="R8" s="27" t="s">
        <v>500</v>
      </c>
      <c r="S8" s="27" t="s">
        <v>501</v>
      </c>
      <c r="T8" s="26" t="s">
        <v>502</v>
      </c>
      <c r="U8" s="27" t="s">
        <v>503</v>
      </c>
      <c r="V8" s="27" t="s">
        <v>504</v>
      </c>
      <c r="W8" s="27" t="s">
        <v>505</v>
      </c>
      <c r="X8" s="26" t="s">
        <v>506</v>
      </c>
      <c r="Y8" s="27" t="s">
        <v>130</v>
      </c>
      <c r="Z8" s="12" t="s">
        <v>157</v>
      </c>
    </row>
    <row r="9" spans="1:26" s="120" customFormat="1" ht="29.4" thickBot="1" x14ac:dyDescent="0.4">
      <c r="A9" s="138" t="s">
        <v>35</v>
      </c>
      <c r="B9" s="69" t="s">
        <v>85</v>
      </c>
      <c r="C9" s="241">
        <v>20000</v>
      </c>
      <c r="D9" s="228">
        <v>0</v>
      </c>
      <c r="E9" s="228">
        <f>SUM(C9:D9)</f>
        <v>20000</v>
      </c>
      <c r="F9" s="241">
        <f>SUM(H9:Z9)</f>
        <v>16353.51</v>
      </c>
      <c r="G9" s="241">
        <f t="shared" ref="G9" si="0">C9-F9</f>
        <v>3646.49</v>
      </c>
      <c r="H9" s="242"/>
      <c r="I9" s="242"/>
      <c r="J9" s="242">
        <v>10524</v>
      </c>
      <c r="K9" s="242"/>
      <c r="L9" s="242"/>
      <c r="M9" s="242"/>
      <c r="N9" s="242"/>
      <c r="O9" s="242"/>
      <c r="P9" s="242"/>
      <c r="Q9" s="242"/>
      <c r="R9" s="242">
        <v>1949</v>
      </c>
      <c r="S9" s="242">
        <v>1949</v>
      </c>
      <c r="T9" s="242">
        <v>1931.51</v>
      </c>
      <c r="U9" s="242"/>
      <c r="V9" s="242"/>
      <c r="W9" s="242"/>
      <c r="X9" s="242"/>
      <c r="Y9" s="242"/>
      <c r="Z9" s="242"/>
    </row>
    <row r="10" spans="1:26" ht="15" thickBot="1" x14ac:dyDescent="0.35">
      <c r="A10" s="69"/>
      <c r="B10" s="69"/>
      <c r="C10" s="243"/>
      <c r="D10" s="243"/>
      <c r="E10" s="243"/>
      <c r="F10" s="243"/>
      <c r="G10" s="243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</row>
    <row r="11" spans="1:26" s="119" customFormat="1" ht="15" thickBot="1" x14ac:dyDescent="0.35">
      <c r="A11" s="71" t="s">
        <v>46</v>
      </c>
      <c r="B11" s="71"/>
      <c r="C11" s="244">
        <f>SUM(C9:C9)</f>
        <v>20000</v>
      </c>
      <c r="D11" s="244">
        <v>0</v>
      </c>
      <c r="E11" s="244">
        <f>C11+D11</f>
        <v>20000</v>
      </c>
      <c r="F11" s="244">
        <f t="shared" ref="F11:Z11" si="1">SUM(F9:F9)</f>
        <v>16353.51</v>
      </c>
      <c r="G11" s="244">
        <f t="shared" si="1"/>
        <v>3646.49</v>
      </c>
      <c r="H11" s="244">
        <f t="shared" si="1"/>
        <v>0</v>
      </c>
      <c r="I11" s="244">
        <f t="shared" si="1"/>
        <v>0</v>
      </c>
      <c r="J11" s="244">
        <f t="shared" si="1"/>
        <v>10524</v>
      </c>
      <c r="K11" s="244">
        <f t="shared" si="1"/>
        <v>0</v>
      </c>
      <c r="L11" s="244">
        <f t="shared" si="1"/>
        <v>0</v>
      </c>
      <c r="M11" s="244">
        <f t="shared" si="1"/>
        <v>0</v>
      </c>
      <c r="N11" s="244">
        <f t="shared" si="1"/>
        <v>0</v>
      </c>
      <c r="O11" s="244">
        <f t="shared" si="1"/>
        <v>0</v>
      </c>
      <c r="P11" s="244">
        <f t="shared" si="1"/>
        <v>0</v>
      </c>
      <c r="Q11" s="244">
        <f t="shared" si="1"/>
        <v>0</v>
      </c>
      <c r="R11" s="244">
        <f t="shared" si="1"/>
        <v>1949</v>
      </c>
      <c r="S11" s="244">
        <f t="shared" si="1"/>
        <v>1949</v>
      </c>
      <c r="T11" s="244">
        <f t="shared" si="1"/>
        <v>1931.51</v>
      </c>
      <c r="U11" s="244">
        <f t="shared" si="1"/>
        <v>0</v>
      </c>
      <c r="V11" s="244">
        <f t="shared" si="1"/>
        <v>0</v>
      </c>
      <c r="W11" s="244">
        <f t="shared" si="1"/>
        <v>0</v>
      </c>
      <c r="X11" s="244">
        <f t="shared" si="1"/>
        <v>0</v>
      </c>
      <c r="Y11" s="244">
        <f t="shared" si="1"/>
        <v>0</v>
      </c>
      <c r="Z11" s="244">
        <f t="shared" si="1"/>
        <v>0</v>
      </c>
    </row>
    <row r="12" spans="1:26" x14ac:dyDescent="0.3">
      <c r="C12" s="215"/>
      <c r="D12" s="215"/>
      <c r="E12" s="215"/>
      <c r="F12" s="215"/>
      <c r="G12" s="215"/>
      <c r="H12" s="215"/>
      <c r="I12" s="215"/>
      <c r="J12" s="215">
        <v>10524</v>
      </c>
      <c r="K12" s="215"/>
      <c r="L12" s="215"/>
      <c r="M12" s="215"/>
      <c r="N12" s="215"/>
      <c r="O12" s="215"/>
      <c r="P12" s="215"/>
      <c r="Q12" s="215" t="s">
        <v>33</v>
      </c>
      <c r="R12" s="215"/>
      <c r="S12" s="215"/>
      <c r="T12" s="215"/>
      <c r="U12" s="215"/>
      <c r="V12" s="215"/>
      <c r="W12" s="215"/>
      <c r="X12" s="215"/>
      <c r="Y12" s="215"/>
      <c r="Z12" s="215"/>
    </row>
    <row r="13" spans="1:26" x14ac:dyDescent="0.3"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</row>
    <row r="14" spans="1:26" x14ac:dyDescent="0.3"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</row>
    <row r="15" spans="1:26" x14ac:dyDescent="0.3"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</row>
    <row r="16" spans="1:26" x14ac:dyDescent="0.3"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</row>
    <row r="17" spans="3:26" x14ac:dyDescent="0.3"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</row>
    <row r="18" spans="3:26" x14ac:dyDescent="0.3"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</row>
    <row r="19" spans="3:26" x14ac:dyDescent="0.3"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</row>
    <row r="20" spans="3:26" x14ac:dyDescent="0.3"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</row>
    <row r="21" spans="3:26" x14ac:dyDescent="0.3"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</row>
    <row r="22" spans="3:26" x14ac:dyDescent="0.3"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C4A87-8E92-424C-BD4B-96C252DB6044}">
  <sheetPr codeName="Sheet13"/>
  <dimension ref="A1:K67"/>
  <sheetViews>
    <sheetView workbookViewId="0">
      <selection activeCell="H22" sqref="H22"/>
    </sheetView>
  </sheetViews>
  <sheetFormatPr defaultColWidth="8.88671875" defaultRowHeight="14.4" x14ac:dyDescent="0.3"/>
  <cols>
    <col min="1" max="1" width="14.109375" style="44" customWidth="1"/>
    <col min="2" max="2" width="21.88671875" style="44" customWidth="1"/>
    <col min="3" max="10" width="14.109375" style="44" customWidth="1"/>
    <col min="11" max="16384" width="8.88671875" style="44"/>
  </cols>
  <sheetData>
    <row r="1" spans="1:11" x14ac:dyDescent="0.3">
      <c r="A1" s="441" t="s">
        <v>714</v>
      </c>
      <c r="B1" s="441" t="s">
        <v>713</v>
      </c>
      <c r="C1" s="441" t="s">
        <v>712</v>
      </c>
      <c r="D1" s="441" t="s">
        <v>711</v>
      </c>
      <c r="E1" s="441" t="s">
        <v>710</v>
      </c>
      <c r="F1" s="441" t="s">
        <v>709</v>
      </c>
      <c r="G1" s="441" t="s">
        <v>708</v>
      </c>
      <c r="H1" s="441" t="s">
        <v>707</v>
      </c>
      <c r="I1" s="441" t="s">
        <v>381</v>
      </c>
      <c r="J1" s="441" t="s">
        <v>382</v>
      </c>
    </row>
    <row r="2" spans="1:11" ht="28.8" x14ac:dyDescent="0.3">
      <c r="A2" s="440" t="s">
        <v>704</v>
      </c>
      <c r="B2" s="440" t="s">
        <v>703</v>
      </c>
      <c r="C2" s="440" t="s">
        <v>702</v>
      </c>
      <c r="D2" s="440" t="s">
        <v>705</v>
      </c>
      <c r="E2" s="440" t="s">
        <v>701</v>
      </c>
      <c r="F2" s="439">
        <v>6387.91</v>
      </c>
      <c r="G2" s="439">
        <v>0</v>
      </c>
      <c r="H2" s="439">
        <v>6387.91015625</v>
      </c>
      <c r="I2" s="439">
        <v>0</v>
      </c>
      <c r="J2" s="439">
        <v>0</v>
      </c>
      <c r="K2" s="44">
        <f>VLOOKUP(D2,'Charter School Remote Learning'!$C$9:$E$72,3,FALSE)</f>
        <v>6387.91</v>
      </c>
    </row>
    <row r="3" spans="1:11" ht="28.8" x14ac:dyDescent="0.3">
      <c r="A3" s="440" t="s">
        <v>704</v>
      </c>
      <c r="B3" s="440" t="s">
        <v>703</v>
      </c>
      <c r="C3" s="440" t="s">
        <v>702</v>
      </c>
      <c r="D3" s="440" t="s">
        <v>544</v>
      </c>
      <c r="E3" s="440" t="s">
        <v>701</v>
      </c>
      <c r="F3" s="439">
        <v>35000</v>
      </c>
      <c r="G3" s="439">
        <v>0</v>
      </c>
      <c r="H3" s="439">
        <v>35000</v>
      </c>
      <c r="I3" s="439">
        <v>0</v>
      </c>
      <c r="J3" s="439">
        <v>0</v>
      </c>
      <c r="K3" s="44">
        <f>VLOOKUP(D3,'Charter School Remote Learning'!$C$9:$E$72,3,FALSE)</f>
        <v>35000</v>
      </c>
    </row>
    <row r="4" spans="1:11" ht="28.8" x14ac:dyDescent="0.3">
      <c r="A4" s="440" t="s">
        <v>704</v>
      </c>
      <c r="B4" s="440" t="s">
        <v>703</v>
      </c>
      <c r="C4" s="440" t="s">
        <v>702</v>
      </c>
      <c r="D4" s="440" t="s">
        <v>485</v>
      </c>
      <c r="E4" s="440" t="s">
        <v>701</v>
      </c>
      <c r="F4" s="439">
        <v>35000</v>
      </c>
      <c r="G4" s="439">
        <v>0</v>
      </c>
      <c r="H4" s="439">
        <v>35000</v>
      </c>
      <c r="I4" s="439">
        <v>0</v>
      </c>
      <c r="J4" s="439">
        <v>0</v>
      </c>
      <c r="K4" s="44">
        <f>VLOOKUP(D4,'Charter School Remote Learning'!$C$9:$E$72,3,FALSE)</f>
        <v>35000</v>
      </c>
    </row>
    <row r="5" spans="1:11" ht="28.8" x14ac:dyDescent="0.3">
      <c r="A5" s="440" t="s">
        <v>704</v>
      </c>
      <c r="B5" s="440" t="s">
        <v>703</v>
      </c>
      <c r="C5" s="440" t="s">
        <v>702</v>
      </c>
      <c r="D5" s="440" t="s">
        <v>573</v>
      </c>
      <c r="E5" s="440" t="s">
        <v>701</v>
      </c>
      <c r="F5" s="439">
        <v>17350</v>
      </c>
      <c r="G5" s="439">
        <v>0</v>
      </c>
      <c r="H5" s="439">
        <v>17350</v>
      </c>
      <c r="I5" s="439">
        <v>0</v>
      </c>
      <c r="J5" s="439">
        <v>0</v>
      </c>
      <c r="K5" s="44">
        <f>VLOOKUP(D5,'Charter School Remote Learning'!$C$9:$E$72,3,FALSE)</f>
        <v>17350</v>
      </c>
    </row>
    <row r="6" spans="1:11" ht="28.8" x14ac:dyDescent="0.3">
      <c r="A6" s="440" t="s">
        <v>704</v>
      </c>
      <c r="B6" s="440" t="s">
        <v>703</v>
      </c>
      <c r="C6" s="440" t="s">
        <v>702</v>
      </c>
      <c r="D6" s="440" t="s">
        <v>547</v>
      </c>
      <c r="E6" s="440" t="s">
        <v>701</v>
      </c>
      <c r="F6" s="439">
        <v>15000</v>
      </c>
      <c r="G6" s="439">
        <v>0</v>
      </c>
      <c r="H6" s="439">
        <v>15000</v>
      </c>
      <c r="I6" s="439">
        <v>0</v>
      </c>
      <c r="J6" s="439">
        <v>0</v>
      </c>
      <c r="K6" s="44">
        <f>VLOOKUP(D6,'Charter School Remote Learning'!$C$9:$E$72,3,FALSE)</f>
        <v>15000</v>
      </c>
    </row>
    <row r="7" spans="1:11" ht="28.8" x14ac:dyDescent="0.3">
      <c r="A7" s="440" t="s">
        <v>704</v>
      </c>
      <c r="B7" s="440" t="s">
        <v>703</v>
      </c>
      <c r="C7" s="440" t="s">
        <v>702</v>
      </c>
      <c r="D7" s="440" t="s">
        <v>588</v>
      </c>
      <c r="E7" s="440" t="s">
        <v>701</v>
      </c>
      <c r="F7" s="439">
        <v>34965</v>
      </c>
      <c r="G7" s="439">
        <v>0</v>
      </c>
      <c r="H7" s="439">
        <v>34965</v>
      </c>
      <c r="I7" s="439">
        <v>0</v>
      </c>
      <c r="J7" s="439">
        <v>0</v>
      </c>
      <c r="K7" s="44">
        <f>VLOOKUP(D7,'Charter School Remote Learning'!$C$9:$E$72,3,FALSE)</f>
        <v>34965</v>
      </c>
    </row>
    <row r="8" spans="1:11" ht="28.8" x14ac:dyDescent="0.3">
      <c r="A8" s="440" t="s">
        <v>704</v>
      </c>
      <c r="B8" s="440" t="s">
        <v>703</v>
      </c>
      <c r="C8" s="440" t="s">
        <v>702</v>
      </c>
      <c r="D8" s="440" t="s">
        <v>549</v>
      </c>
      <c r="E8" s="440" t="s">
        <v>701</v>
      </c>
      <c r="F8" s="439">
        <v>25000</v>
      </c>
      <c r="G8" s="439">
        <v>0</v>
      </c>
      <c r="H8" s="439">
        <v>25000</v>
      </c>
      <c r="I8" s="439">
        <v>0</v>
      </c>
      <c r="J8" s="439">
        <v>0</v>
      </c>
      <c r="K8" s="44">
        <f>VLOOKUP(D8,'Charter School Remote Learning'!$C$9:$E$72,3,FALSE)</f>
        <v>25000</v>
      </c>
    </row>
    <row r="9" spans="1:11" ht="28.8" x14ac:dyDescent="0.3">
      <c r="A9" s="440" t="s">
        <v>704</v>
      </c>
      <c r="B9" s="440" t="s">
        <v>703</v>
      </c>
      <c r="C9" s="440" t="s">
        <v>702</v>
      </c>
      <c r="D9" s="440" t="s">
        <v>576</v>
      </c>
      <c r="E9" s="440" t="s">
        <v>701</v>
      </c>
      <c r="F9" s="439">
        <v>25000</v>
      </c>
      <c r="G9" s="439">
        <v>0</v>
      </c>
      <c r="H9" s="439">
        <v>25000</v>
      </c>
      <c r="I9" s="439">
        <v>0</v>
      </c>
      <c r="J9" s="439">
        <v>0</v>
      </c>
      <c r="K9" s="44">
        <f>VLOOKUP(D9,'Charter School Remote Learning'!$C$9:$E$72,3,FALSE)</f>
        <v>25000</v>
      </c>
    </row>
    <row r="10" spans="1:11" ht="28.8" x14ac:dyDescent="0.3">
      <c r="A10" s="440" t="s">
        <v>704</v>
      </c>
      <c r="B10" s="440" t="s">
        <v>703</v>
      </c>
      <c r="C10" s="440" t="s">
        <v>702</v>
      </c>
      <c r="D10" s="440" t="s">
        <v>587</v>
      </c>
      <c r="E10" s="440" t="s">
        <v>701</v>
      </c>
      <c r="F10" s="439">
        <v>25000</v>
      </c>
      <c r="G10" s="439">
        <v>0</v>
      </c>
      <c r="H10" s="439">
        <v>25000</v>
      </c>
      <c r="I10" s="439">
        <v>0</v>
      </c>
      <c r="J10" s="439">
        <v>0</v>
      </c>
      <c r="K10" s="44">
        <f>VLOOKUP(D10,'Charter School Remote Learning'!$C$9:$E$72,3,FALSE)</f>
        <v>25000</v>
      </c>
    </row>
    <row r="11" spans="1:11" ht="28.8" x14ac:dyDescent="0.3">
      <c r="A11" s="440" t="s">
        <v>704</v>
      </c>
      <c r="B11" s="440" t="s">
        <v>703</v>
      </c>
      <c r="C11" s="440" t="s">
        <v>702</v>
      </c>
      <c r="D11" s="440" t="s">
        <v>550</v>
      </c>
      <c r="E11" s="440" t="s">
        <v>701</v>
      </c>
      <c r="F11" s="439">
        <v>25000</v>
      </c>
      <c r="G11" s="439">
        <v>0</v>
      </c>
      <c r="H11" s="439">
        <v>25000</v>
      </c>
      <c r="I11" s="439">
        <v>0</v>
      </c>
      <c r="J11" s="439">
        <v>0</v>
      </c>
      <c r="K11" s="44">
        <f>VLOOKUP(D11,'Charter School Remote Learning'!$C$9:$E$72,3,FALSE)</f>
        <v>25000</v>
      </c>
    </row>
    <row r="12" spans="1:11" ht="28.8" x14ac:dyDescent="0.3">
      <c r="A12" s="440" t="s">
        <v>704</v>
      </c>
      <c r="B12" s="440" t="s">
        <v>703</v>
      </c>
      <c r="C12" s="440" t="s">
        <v>702</v>
      </c>
      <c r="D12" s="440" t="s">
        <v>687</v>
      </c>
      <c r="E12" s="440" t="s">
        <v>701</v>
      </c>
      <c r="F12" s="439">
        <v>35000</v>
      </c>
      <c r="G12" s="439">
        <v>0</v>
      </c>
      <c r="H12" s="439">
        <v>35000</v>
      </c>
      <c r="I12" s="439">
        <v>0</v>
      </c>
      <c r="J12" s="439">
        <v>0</v>
      </c>
      <c r="K12" s="44" t="e">
        <f>VLOOKUP(D12,'Charter School Remote Learning'!$C$9:$E$72,3,FALSE)</f>
        <v>#N/A</v>
      </c>
    </row>
    <row r="13" spans="1:11" ht="28.8" x14ac:dyDescent="0.3">
      <c r="A13" s="440" t="s">
        <v>704</v>
      </c>
      <c r="B13" s="440" t="s">
        <v>703</v>
      </c>
      <c r="C13" s="440" t="s">
        <v>702</v>
      </c>
      <c r="D13" s="440" t="s">
        <v>589</v>
      </c>
      <c r="E13" s="440" t="s">
        <v>701</v>
      </c>
      <c r="F13" s="439">
        <v>25000</v>
      </c>
      <c r="G13" s="439">
        <v>0</v>
      </c>
      <c r="H13" s="439">
        <v>25000</v>
      </c>
      <c r="I13" s="439">
        <v>0</v>
      </c>
      <c r="J13" s="439">
        <v>0</v>
      </c>
      <c r="K13" s="44">
        <f>VLOOKUP(D13,'Charter School Remote Learning'!$C$9:$E$72,3,FALSE)</f>
        <v>25000</v>
      </c>
    </row>
    <row r="14" spans="1:11" ht="28.8" x14ac:dyDescent="0.3">
      <c r="A14" s="440" t="s">
        <v>704</v>
      </c>
      <c r="B14" s="440" t="s">
        <v>703</v>
      </c>
      <c r="C14" s="440" t="s">
        <v>702</v>
      </c>
      <c r="D14" s="440" t="s">
        <v>551</v>
      </c>
      <c r="E14" s="440" t="s">
        <v>701</v>
      </c>
      <c r="F14" s="439">
        <v>35000</v>
      </c>
      <c r="G14" s="439">
        <v>0</v>
      </c>
      <c r="H14" s="439">
        <v>35000</v>
      </c>
      <c r="I14" s="439">
        <v>0</v>
      </c>
      <c r="J14" s="439">
        <v>0</v>
      </c>
      <c r="K14" s="44">
        <f>VLOOKUP(D14,'Charter School Remote Learning'!$C$9:$E$72,3,FALSE)</f>
        <v>35000</v>
      </c>
    </row>
    <row r="15" spans="1:11" ht="28.8" x14ac:dyDescent="0.3">
      <c r="A15" s="440" t="s">
        <v>704</v>
      </c>
      <c r="B15" s="440" t="s">
        <v>703</v>
      </c>
      <c r="C15" s="440" t="s">
        <v>702</v>
      </c>
      <c r="D15" s="440" t="s">
        <v>558</v>
      </c>
      <c r="E15" s="440" t="s">
        <v>701</v>
      </c>
      <c r="F15" s="439">
        <v>10000</v>
      </c>
      <c r="G15" s="439">
        <v>0</v>
      </c>
      <c r="H15" s="439">
        <v>10000</v>
      </c>
      <c r="I15" s="439">
        <v>0</v>
      </c>
      <c r="J15" s="439">
        <v>0</v>
      </c>
      <c r="K15" s="44">
        <f>VLOOKUP(D15,'Charter School Remote Learning'!$C$9:$E$72,3,FALSE)</f>
        <v>10000</v>
      </c>
    </row>
    <row r="16" spans="1:11" ht="28.8" x14ac:dyDescent="0.3">
      <c r="A16" s="440" t="s">
        <v>704</v>
      </c>
      <c r="B16" s="440" t="s">
        <v>703</v>
      </c>
      <c r="C16" s="440" t="s">
        <v>702</v>
      </c>
      <c r="D16" s="440" t="s">
        <v>553</v>
      </c>
      <c r="E16" s="440" t="s">
        <v>701</v>
      </c>
      <c r="F16" s="439">
        <v>10000</v>
      </c>
      <c r="G16" s="439">
        <v>0</v>
      </c>
      <c r="H16" s="439">
        <v>10000</v>
      </c>
      <c r="I16" s="439">
        <v>0</v>
      </c>
      <c r="J16" s="439">
        <v>0</v>
      </c>
      <c r="K16" s="44">
        <f>VLOOKUP(D16,'Charter School Remote Learning'!$C$9:$E$72,3,FALSE)</f>
        <v>10000</v>
      </c>
    </row>
    <row r="17" spans="1:11" ht="28.8" x14ac:dyDescent="0.3">
      <c r="A17" s="440" t="s">
        <v>704</v>
      </c>
      <c r="B17" s="440" t="s">
        <v>703</v>
      </c>
      <c r="C17" s="440" t="s">
        <v>702</v>
      </c>
      <c r="D17" s="440" t="s">
        <v>557</v>
      </c>
      <c r="E17" s="440" t="s">
        <v>701</v>
      </c>
      <c r="F17" s="439">
        <v>10000</v>
      </c>
      <c r="G17" s="439">
        <v>0</v>
      </c>
      <c r="H17" s="439">
        <v>10000</v>
      </c>
      <c r="I17" s="439">
        <v>0</v>
      </c>
      <c r="J17" s="439">
        <v>0</v>
      </c>
      <c r="K17" s="44">
        <f>VLOOKUP(D17,'Charter School Remote Learning'!$C$9:$E$72,3,FALSE)</f>
        <v>10000</v>
      </c>
    </row>
    <row r="18" spans="1:11" ht="28.8" x14ac:dyDescent="0.3">
      <c r="A18" s="440" t="s">
        <v>704</v>
      </c>
      <c r="B18" s="440" t="s">
        <v>703</v>
      </c>
      <c r="C18" s="440" t="s">
        <v>702</v>
      </c>
      <c r="D18" s="440" t="s">
        <v>577</v>
      </c>
      <c r="E18" s="440" t="s">
        <v>701</v>
      </c>
      <c r="F18" s="439">
        <v>35000</v>
      </c>
      <c r="G18" s="439">
        <v>0</v>
      </c>
      <c r="H18" s="439">
        <v>35000</v>
      </c>
      <c r="I18" s="439">
        <v>0</v>
      </c>
      <c r="J18" s="439">
        <v>0</v>
      </c>
      <c r="K18" s="44">
        <f>VLOOKUP(D18,'Charter School Remote Learning'!$C$9:$E$72,3,FALSE)</f>
        <v>35000</v>
      </c>
    </row>
    <row r="19" spans="1:11" ht="28.8" x14ac:dyDescent="0.3">
      <c r="A19" s="440" t="s">
        <v>704</v>
      </c>
      <c r="B19" s="440" t="s">
        <v>703</v>
      </c>
      <c r="C19" s="440" t="s">
        <v>702</v>
      </c>
      <c r="D19" s="440" t="s">
        <v>554</v>
      </c>
      <c r="E19" s="440" t="s">
        <v>701</v>
      </c>
      <c r="F19" s="439">
        <v>10000</v>
      </c>
      <c r="G19" s="439">
        <v>0</v>
      </c>
      <c r="H19" s="439">
        <v>10000</v>
      </c>
      <c r="I19" s="439">
        <v>0</v>
      </c>
      <c r="J19" s="439">
        <v>0</v>
      </c>
      <c r="K19" s="44">
        <f>VLOOKUP(D19,'Charter School Remote Learning'!$C$9:$E$72,3,FALSE)</f>
        <v>10000</v>
      </c>
    </row>
    <row r="20" spans="1:11" ht="28.8" x14ac:dyDescent="0.3">
      <c r="A20" s="440" t="s">
        <v>704</v>
      </c>
      <c r="B20" s="440" t="s">
        <v>703</v>
      </c>
      <c r="C20" s="440" t="s">
        <v>702</v>
      </c>
      <c r="D20" s="440" t="s">
        <v>555</v>
      </c>
      <c r="E20" s="440" t="s">
        <v>701</v>
      </c>
      <c r="F20" s="439">
        <v>10000</v>
      </c>
      <c r="G20" s="439">
        <v>0</v>
      </c>
      <c r="H20" s="439">
        <v>10000</v>
      </c>
      <c r="I20" s="439">
        <v>0</v>
      </c>
      <c r="J20" s="439">
        <v>0</v>
      </c>
      <c r="K20" s="44">
        <f>VLOOKUP(D20,'Charter School Remote Learning'!$C$9:$E$72,3,FALSE)</f>
        <v>10000</v>
      </c>
    </row>
    <row r="21" spans="1:11" ht="28.8" x14ac:dyDescent="0.3">
      <c r="A21" s="440" t="s">
        <v>704</v>
      </c>
      <c r="B21" s="440" t="s">
        <v>703</v>
      </c>
      <c r="C21" s="440" t="s">
        <v>702</v>
      </c>
      <c r="D21" s="440" t="s">
        <v>591</v>
      </c>
      <c r="E21" s="440" t="s">
        <v>701</v>
      </c>
      <c r="F21" s="439">
        <v>35000</v>
      </c>
      <c r="G21" s="439">
        <v>0</v>
      </c>
      <c r="H21" s="439">
        <v>35000</v>
      </c>
      <c r="I21" s="439">
        <v>0</v>
      </c>
      <c r="J21" s="439">
        <v>0</v>
      </c>
      <c r="K21" s="44">
        <f>VLOOKUP(D21,'Charter School Remote Learning'!$C$9:$E$72,3,FALSE)</f>
        <v>35000</v>
      </c>
    </row>
    <row r="22" spans="1:11" ht="28.8" x14ac:dyDescent="0.3">
      <c r="A22" s="440" t="s">
        <v>704</v>
      </c>
      <c r="B22" s="440" t="s">
        <v>703</v>
      </c>
      <c r="C22" s="440" t="s">
        <v>702</v>
      </c>
      <c r="D22" s="440" t="s">
        <v>706</v>
      </c>
      <c r="E22" s="440" t="s">
        <v>701</v>
      </c>
      <c r="F22" s="439">
        <v>35000</v>
      </c>
      <c r="G22" s="439">
        <v>0</v>
      </c>
      <c r="H22" s="439">
        <v>35000</v>
      </c>
      <c r="I22" s="439">
        <v>0</v>
      </c>
      <c r="J22" s="439">
        <v>0</v>
      </c>
      <c r="K22" s="44" t="e">
        <f>VLOOKUP(D22,'Charter School Remote Learning'!$C$9:$E$72,3,FALSE)</f>
        <v>#N/A</v>
      </c>
    </row>
    <row r="23" spans="1:11" ht="28.8" x14ac:dyDescent="0.3">
      <c r="A23" s="440" t="s">
        <v>704</v>
      </c>
      <c r="B23" s="440" t="s">
        <v>703</v>
      </c>
      <c r="C23" s="440" t="s">
        <v>702</v>
      </c>
      <c r="D23" s="440" t="s">
        <v>548</v>
      </c>
      <c r="E23" s="440" t="s">
        <v>701</v>
      </c>
      <c r="F23" s="439">
        <v>24875.32</v>
      </c>
      <c r="G23" s="439">
        <v>0</v>
      </c>
      <c r="H23" s="439">
        <v>24875.3203125</v>
      </c>
      <c r="I23" s="439">
        <v>0</v>
      </c>
      <c r="J23" s="439">
        <v>0</v>
      </c>
      <c r="K23" s="44">
        <f>VLOOKUP(D23,'Charter School Remote Learning'!$C$9:$E$72,3,FALSE)</f>
        <v>24875.32</v>
      </c>
    </row>
    <row r="24" spans="1:11" ht="28.8" x14ac:dyDescent="0.3">
      <c r="A24" s="440" t="s">
        <v>704</v>
      </c>
      <c r="B24" s="440" t="s">
        <v>703</v>
      </c>
      <c r="C24" s="440" t="s">
        <v>702</v>
      </c>
      <c r="D24" s="440" t="s">
        <v>559</v>
      </c>
      <c r="E24" s="440" t="s">
        <v>701</v>
      </c>
      <c r="F24" s="439">
        <v>35000</v>
      </c>
      <c r="G24" s="439">
        <v>0</v>
      </c>
      <c r="H24" s="439">
        <v>35000</v>
      </c>
      <c r="I24" s="439">
        <v>0</v>
      </c>
      <c r="J24" s="439">
        <v>0</v>
      </c>
      <c r="K24" s="44">
        <f>VLOOKUP(D24,'Charter School Remote Learning'!$C$9:$E$72,3,FALSE)</f>
        <v>35000</v>
      </c>
    </row>
    <row r="25" spans="1:11" ht="28.8" x14ac:dyDescent="0.3">
      <c r="A25" s="440" t="s">
        <v>704</v>
      </c>
      <c r="B25" s="440" t="s">
        <v>703</v>
      </c>
      <c r="C25" s="440" t="s">
        <v>702</v>
      </c>
      <c r="D25" s="440" t="s">
        <v>578</v>
      </c>
      <c r="E25" s="440" t="s">
        <v>701</v>
      </c>
      <c r="F25" s="439">
        <v>34919</v>
      </c>
      <c r="G25" s="439">
        <v>0</v>
      </c>
      <c r="H25" s="439">
        <v>34919</v>
      </c>
      <c r="I25" s="439">
        <v>0</v>
      </c>
      <c r="J25" s="439">
        <v>0</v>
      </c>
      <c r="K25" s="44">
        <f>VLOOKUP(D25,'Charter School Remote Learning'!$C$9:$E$72,3,FALSE)</f>
        <v>34919</v>
      </c>
    </row>
    <row r="26" spans="1:11" ht="28.8" x14ac:dyDescent="0.3">
      <c r="A26" s="440" t="s">
        <v>704</v>
      </c>
      <c r="B26" s="440" t="s">
        <v>703</v>
      </c>
      <c r="C26" s="440" t="s">
        <v>702</v>
      </c>
      <c r="D26" s="440" t="s">
        <v>561</v>
      </c>
      <c r="E26" s="440" t="s">
        <v>701</v>
      </c>
      <c r="F26" s="439">
        <v>23931</v>
      </c>
      <c r="G26" s="439">
        <v>0</v>
      </c>
      <c r="H26" s="439">
        <v>23931</v>
      </c>
      <c r="I26" s="439">
        <v>0</v>
      </c>
      <c r="J26" s="439">
        <v>0</v>
      </c>
      <c r="K26" s="44">
        <f>VLOOKUP(D26,'Charter School Remote Learning'!$C$9:$E$72,3,FALSE)</f>
        <v>23931</v>
      </c>
    </row>
    <row r="27" spans="1:11" ht="28.8" x14ac:dyDescent="0.3">
      <c r="A27" s="440" t="s">
        <v>704</v>
      </c>
      <c r="B27" s="440" t="s">
        <v>703</v>
      </c>
      <c r="C27" s="440" t="s">
        <v>702</v>
      </c>
      <c r="D27" s="440" t="s">
        <v>560</v>
      </c>
      <c r="E27" s="440" t="s">
        <v>701</v>
      </c>
      <c r="F27" s="439">
        <v>32050</v>
      </c>
      <c r="G27" s="439">
        <v>0</v>
      </c>
      <c r="H27" s="439">
        <v>32050</v>
      </c>
      <c r="I27" s="439">
        <v>0</v>
      </c>
      <c r="J27" s="439">
        <v>0</v>
      </c>
      <c r="K27" s="44">
        <f>VLOOKUP(D27,'Charter School Remote Learning'!$C$9:$E$72,3,FALSE)</f>
        <v>32050</v>
      </c>
    </row>
    <row r="28" spans="1:11" ht="28.8" x14ac:dyDescent="0.3">
      <c r="A28" s="440" t="s">
        <v>704</v>
      </c>
      <c r="B28" s="440" t="s">
        <v>703</v>
      </c>
      <c r="C28" s="440" t="s">
        <v>702</v>
      </c>
      <c r="D28" s="440" t="s">
        <v>556</v>
      </c>
      <c r="E28" s="440" t="s">
        <v>701</v>
      </c>
      <c r="F28" s="439">
        <v>10000</v>
      </c>
      <c r="G28" s="439">
        <v>0</v>
      </c>
      <c r="H28" s="439">
        <v>10000</v>
      </c>
      <c r="I28" s="439">
        <v>0</v>
      </c>
      <c r="J28" s="439">
        <v>0</v>
      </c>
      <c r="K28" s="44">
        <f>VLOOKUP(D28,'Charter School Remote Learning'!$C$9:$E$72,3,FALSE)</f>
        <v>10000</v>
      </c>
    </row>
    <row r="29" spans="1:11" ht="28.8" x14ac:dyDescent="0.3">
      <c r="A29" s="440" t="s">
        <v>704</v>
      </c>
      <c r="B29" s="440" t="s">
        <v>703</v>
      </c>
      <c r="C29" s="440" t="s">
        <v>702</v>
      </c>
      <c r="D29" s="440" t="s">
        <v>582</v>
      </c>
      <c r="E29" s="440" t="s">
        <v>701</v>
      </c>
      <c r="F29" s="439">
        <v>34789</v>
      </c>
      <c r="G29" s="439">
        <v>0</v>
      </c>
      <c r="H29" s="439">
        <v>34789</v>
      </c>
      <c r="I29" s="439">
        <v>0</v>
      </c>
      <c r="J29" s="439">
        <v>0</v>
      </c>
      <c r="K29" s="44">
        <f>VLOOKUP(D29,'Charter School Remote Learning'!$C$9:$E$72,3,FALSE)</f>
        <v>34789</v>
      </c>
    </row>
    <row r="30" spans="1:11" ht="28.8" x14ac:dyDescent="0.3">
      <c r="A30" s="440" t="s">
        <v>704</v>
      </c>
      <c r="B30" s="440" t="s">
        <v>703</v>
      </c>
      <c r="C30" s="440" t="s">
        <v>702</v>
      </c>
      <c r="D30" s="440" t="s">
        <v>579</v>
      </c>
      <c r="E30" s="440" t="s">
        <v>701</v>
      </c>
      <c r="F30" s="439">
        <v>34403.53</v>
      </c>
      <c r="G30" s="439">
        <v>0</v>
      </c>
      <c r="H30" s="439">
        <v>34403.53125</v>
      </c>
      <c r="I30" s="439">
        <v>0</v>
      </c>
      <c r="J30" s="439">
        <v>0</v>
      </c>
      <c r="K30" s="44">
        <f>VLOOKUP(D30,'Charter School Remote Learning'!$C$9:$E$72,3,FALSE)</f>
        <v>34403.53</v>
      </c>
    </row>
    <row r="31" spans="1:11" ht="28.8" x14ac:dyDescent="0.3">
      <c r="A31" s="440" t="s">
        <v>704</v>
      </c>
      <c r="B31" s="440" t="s">
        <v>703</v>
      </c>
      <c r="C31" s="440" t="s">
        <v>702</v>
      </c>
      <c r="D31" s="440" t="s">
        <v>705</v>
      </c>
      <c r="E31" s="440" t="s">
        <v>701</v>
      </c>
      <c r="F31" s="439">
        <v>6387.91</v>
      </c>
      <c r="G31" s="439">
        <v>0</v>
      </c>
      <c r="H31" s="439">
        <v>6387.91015625</v>
      </c>
      <c r="I31" s="439">
        <v>0</v>
      </c>
      <c r="J31" s="439">
        <v>0</v>
      </c>
      <c r="K31" s="44">
        <f>VLOOKUP(D31,'Charter School Remote Learning'!$C$9:$E$72,3,FALSE)</f>
        <v>6387.91</v>
      </c>
    </row>
    <row r="32" spans="1:11" ht="28.8" x14ac:dyDescent="0.3">
      <c r="A32" s="440" t="s">
        <v>704</v>
      </c>
      <c r="B32" s="440" t="s">
        <v>703</v>
      </c>
      <c r="C32" s="440" t="s">
        <v>702</v>
      </c>
      <c r="D32" s="440" t="s">
        <v>580</v>
      </c>
      <c r="E32" s="440" t="s">
        <v>701</v>
      </c>
      <c r="F32" s="439">
        <v>12775.84</v>
      </c>
      <c r="G32" s="439">
        <v>0</v>
      </c>
      <c r="H32" s="439">
        <v>12775.83984375</v>
      </c>
      <c r="I32" s="439">
        <v>0</v>
      </c>
      <c r="J32" s="439">
        <v>0</v>
      </c>
      <c r="K32" s="44">
        <f>VLOOKUP(D32,'Charter School Remote Learning'!$C$9:$E$72,3,FALSE)</f>
        <v>12775.84</v>
      </c>
    </row>
    <row r="33" spans="1:11" ht="28.8" x14ac:dyDescent="0.3">
      <c r="A33" s="440" t="s">
        <v>704</v>
      </c>
      <c r="B33" s="440" t="s">
        <v>703</v>
      </c>
      <c r="C33" s="440" t="s">
        <v>702</v>
      </c>
      <c r="D33" s="440" t="s">
        <v>552</v>
      </c>
      <c r="E33" s="440" t="s">
        <v>701</v>
      </c>
      <c r="F33" s="439">
        <v>35000</v>
      </c>
      <c r="G33" s="439">
        <v>0</v>
      </c>
      <c r="H33" s="439">
        <v>35000</v>
      </c>
      <c r="I33" s="439">
        <v>0</v>
      </c>
      <c r="J33" s="439">
        <v>0</v>
      </c>
      <c r="K33" s="44">
        <f>VLOOKUP(D33,'Charter School Remote Learning'!$C$9:$E$72,3,FALSE)</f>
        <v>35000</v>
      </c>
    </row>
    <row r="34" spans="1:11" ht="28.8" x14ac:dyDescent="0.3">
      <c r="A34" s="440" t="s">
        <v>704</v>
      </c>
      <c r="B34" s="440" t="s">
        <v>703</v>
      </c>
      <c r="C34" s="440" t="s">
        <v>702</v>
      </c>
      <c r="D34" s="440" t="s">
        <v>281</v>
      </c>
      <c r="E34" s="440" t="s">
        <v>701</v>
      </c>
      <c r="F34" s="439">
        <v>35000</v>
      </c>
      <c r="G34" s="439">
        <v>0</v>
      </c>
      <c r="H34" s="439">
        <v>35000</v>
      </c>
      <c r="I34" s="439">
        <v>0</v>
      </c>
      <c r="J34" s="439">
        <v>0</v>
      </c>
      <c r="K34" s="44">
        <f>VLOOKUP(D34,'Charter School Remote Learning'!$C$9:$E$72,3,FALSE)</f>
        <v>35000</v>
      </c>
    </row>
    <row r="35" spans="1:11" ht="28.8" x14ac:dyDescent="0.3">
      <c r="A35" s="440" t="s">
        <v>704</v>
      </c>
      <c r="B35" s="440" t="s">
        <v>703</v>
      </c>
      <c r="C35" s="440" t="s">
        <v>702</v>
      </c>
      <c r="D35" s="440" t="s">
        <v>679</v>
      </c>
      <c r="E35" s="440" t="s">
        <v>701</v>
      </c>
      <c r="F35" s="439">
        <v>23408</v>
      </c>
      <c r="G35" s="439">
        <v>0</v>
      </c>
      <c r="H35" s="439">
        <v>23408</v>
      </c>
      <c r="I35" s="439">
        <v>0</v>
      </c>
      <c r="J35" s="439">
        <v>0</v>
      </c>
      <c r="K35" s="44">
        <f>VLOOKUP(D35,'Charter School Remote Learning'!$C$9:$E$72,3,FALSE)</f>
        <v>23408</v>
      </c>
    </row>
    <row r="36" spans="1:11" ht="28.8" x14ac:dyDescent="0.3">
      <c r="A36" s="440" t="s">
        <v>704</v>
      </c>
      <c r="B36" s="440" t="s">
        <v>703</v>
      </c>
      <c r="C36" s="440" t="s">
        <v>702</v>
      </c>
      <c r="D36" s="440" t="s">
        <v>592</v>
      </c>
      <c r="E36" s="440" t="s">
        <v>701</v>
      </c>
      <c r="F36" s="439">
        <v>34300</v>
      </c>
      <c r="G36" s="439">
        <v>0</v>
      </c>
      <c r="H36" s="439">
        <v>34300</v>
      </c>
      <c r="I36" s="439">
        <v>0</v>
      </c>
      <c r="J36" s="439">
        <v>0</v>
      </c>
      <c r="K36" s="44">
        <f>VLOOKUP(D36,'Charter School Remote Learning'!$C$9:$E$72,3,FALSE)</f>
        <v>34300</v>
      </c>
    </row>
    <row r="37" spans="1:11" ht="28.8" x14ac:dyDescent="0.3">
      <c r="A37" s="440" t="s">
        <v>704</v>
      </c>
      <c r="B37" s="440" t="s">
        <v>703</v>
      </c>
      <c r="C37" s="440" t="s">
        <v>702</v>
      </c>
      <c r="D37" s="440" t="s">
        <v>593</v>
      </c>
      <c r="E37" s="440" t="s">
        <v>701</v>
      </c>
      <c r="F37" s="439">
        <v>20000</v>
      </c>
      <c r="G37" s="439">
        <v>0</v>
      </c>
      <c r="H37" s="439">
        <v>20000</v>
      </c>
      <c r="I37" s="439">
        <v>0</v>
      </c>
      <c r="J37" s="439">
        <v>0</v>
      </c>
      <c r="K37" s="44">
        <f>VLOOKUP(D37,'Charter School Remote Learning'!$C$9:$E$72,3,FALSE)</f>
        <v>20000</v>
      </c>
    </row>
    <row r="38" spans="1:11" ht="28.8" x14ac:dyDescent="0.3">
      <c r="A38" s="440" t="s">
        <v>704</v>
      </c>
      <c r="B38" s="440" t="s">
        <v>703</v>
      </c>
      <c r="C38" s="440" t="s">
        <v>702</v>
      </c>
      <c r="D38" s="440" t="s">
        <v>590</v>
      </c>
      <c r="E38" s="440" t="s">
        <v>701</v>
      </c>
      <c r="F38" s="439">
        <v>25000</v>
      </c>
      <c r="G38" s="439">
        <v>0</v>
      </c>
      <c r="H38" s="439">
        <v>25000</v>
      </c>
      <c r="I38" s="439">
        <v>0</v>
      </c>
      <c r="J38" s="439">
        <v>0</v>
      </c>
      <c r="K38" s="44">
        <f>VLOOKUP(D38,'Charter School Remote Learning'!$C$9:$E$72,3,FALSE)</f>
        <v>25000</v>
      </c>
    </row>
    <row r="39" spans="1:11" ht="28.8" x14ac:dyDescent="0.3">
      <c r="A39" s="440" t="s">
        <v>704</v>
      </c>
      <c r="B39" s="440" t="s">
        <v>703</v>
      </c>
      <c r="C39" s="440" t="s">
        <v>702</v>
      </c>
      <c r="D39" s="440" t="s">
        <v>583</v>
      </c>
      <c r="E39" s="440" t="s">
        <v>701</v>
      </c>
      <c r="F39" s="439">
        <v>19379</v>
      </c>
      <c r="G39" s="439">
        <v>0</v>
      </c>
      <c r="H39" s="439">
        <v>19379</v>
      </c>
      <c r="I39" s="439">
        <v>0</v>
      </c>
      <c r="J39" s="439">
        <v>0</v>
      </c>
      <c r="K39" s="44">
        <f>VLOOKUP(D39,'Charter School Remote Learning'!$C$9:$E$72,3,FALSE)</f>
        <v>19379</v>
      </c>
    </row>
    <row r="40" spans="1:11" ht="28.8" x14ac:dyDescent="0.3">
      <c r="A40" s="440" t="s">
        <v>704</v>
      </c>
      <c r="B40" s="440" t="s">
        <v>703</v>
      </c>
      <c r="C40" s="440" t="s">
        <v>702</v>
      </c>
      <c r="D40" s="440" t="s">
        <v>594</v>
      </c>
      <c r="E40" s="440" t="s">
        <v>701</v>
      </c>
      <c r="F40" s="439">
        <v>32472</v>
      </c>
      <c r="G40" s="439">
        <v>0</v>
      </c>
      <c r="H40" s="439">
        <v>32472</v>
      </c>
      <c r="I40" s="439">
        <v>0</v>
      </c>
      <c r="J40" s="439">
        <v>0</v>
      </c>
      <c r="K40" s="44">
        <f>VLOOKUP(D40,'Charter School Remote Learning'!$C$9:$E$72,3,FALSE)</f>
        <v>32472</v>
      </c>
    </row>
    <row r="41" spans="1:11" ht="28.8" x14ac:dyDescent="0.3">
      <c r="A41" s="440" t="s">
        <v>704</v>
      </c>
      <c r="B41" s="440" t="s">
        <v>703</v>
      </c>
      <c r="C41" s="440" t="s">
        <v>702</v>
      </c>
      <c r="D41" s="440" t="s">
        <v>698</v>
      </c>
      <c r="E41" s="440" t="s">
        <v>701</v>
      </c>
      <c r="F41" s="439">
        <v>9834</v>
      </c>
      <c r="G41" s="439">
        <v>0</v>
      </c>
      <c r="H41" s="439">
        <v>9834</v>
      </c>
      <c r="I41" s="439">
        <v>0</v>
      </c>
      <c r="J41" s="439">
        <v>0</v>
      </c>
      <c r="K41" s="44">
        <f>VLOOKUP(D41,'Charter School Remote Learning'!$C$9:$E$72,3,FALSE)</f>
        <v>9834</v>
      </c>
    </row>
    <row r="42" spans="1:11" ht="28.8" x14ac:dyDescent="0.3">
      <c r="A42" s="440" t="s">
        <v>704</v>
      </c>
      <c r="B42" s="440" t="s">
        <v>703</v>
      </c>
      <c r="C42" s="440" t="s">
        <v>702</v>
      </c>
      <c r="D42" s="440" t="s">
        <v>595</v>
      </c>
      <c r="E42" s="440" t="s">
        <v>701</v>
      </c>
      <c r="F42" s="439">
        <v>15000</v>
      </c>
      <c r="G42" s="439">
        <v>0</v>
      </c>
      <c r="H42" s="439">
        <v>15000</v>
      </c>
      <c r="I42" s="439">
        <v>0</v>
      </c>
      <c r="J42" s="439">
        <v>0</v>
      </c>
      <c r="K42" s="44">
        <f>VLOOKUP(D42,'Charter School Remote Learning'!$C$9:$E$72,3,FALSE)</f>
        <v>15000</v>
      </c>
    </row>
    <row r="43" spans="1:11" ht="28.8" x14ac:dyDescent="0.3">
      <c r="A43" s="440" t="s">
        <v>704</v>
      </c>
      <c r="B43" s="440" t="s">
        <v>703</v>
      </c>
      <c r="C43" s="440" t="s">
        <v>702</v>
      </c>
      <c r="D43" s="440" t="s">
        <v>546</v>
      </c>
      <c r="E43" s="440" t="s">
        <v>701</v>
      </c>
      <c r="F43" s="439">
        <v>35000</v>
      </c>
      <c r="G43" s="439">
        <v>0</v>
      </c>
      <c r="H43" s="439">
        <v>35000</v>
      </c>
      <c r="I43" s="439">
        <v>0</v>
      </c>
      <c r="J43" s="439">
        <v>0</v>
      </c>
      <c r="K43" s="44">
        <f>VLOOKUP(D43,'Charter School Remote Learning'!$C$9:$E$72,3,FALSE)</f>
        <v>35000</v>
      </c>
    </row>
    <row r="44" spans="1:11" ht="28.8" x14ac:dyDescent="0.3">
      <c r="A44" s="440" t="s">
        <v>704</v>
      </c>
      <c r="B44" s="440" t="s">
        <v>703</v>
      </c>
      <c r="C44" s="440" t="s">
        <v>702</v>
      </c>
      <c r="D44" s="440" t="s">
        <v>584</v>
      </c>
      <c r="E44" s="440" t="s">
        <v>701</v>
      </c>
      <c r="F44" s="439">
        <v>34750</v>
      </c>
      <c r="G44" s="439">
        <v>0</v>
      </c>
      <c r="H44" s="439">
        <v>34750</v>
      </c>
      <c r="I44" s="439">
        <v>0</v>
      </c>
      <c r="J44" s="439">
        <v>0</v>
      </c>
      <c r="K44" s="44">
        <f>VLOOKUP(D44,'Charter School Remote Learning'!$C$9:$E$72,3,FALSE)</f>
        <v>34750</v>
      </c>
    </row>
    <row r="45" spans="1:11" ht="28.8" x14ac:dyDescent="0.3">
      <c r="A45" s="440" t="s">
        <v>704</v>
      </c>
      <c r="B45" s="440" t="s">
        <v>703</v>
      </c>
      <c r="C45" s="440" t="s">
        <v>702</v>
      </c>
      <c r="D45" s="440" t="s">
        <v>585</v>
      </c>
      <c r="E45" s="440" t="s">
        <v>701</v>
      </c>
      <c r="F45" s="439">
        <v>34933</v>
      </c>
      <c r="G45" s="439">
        <v>0</v>
      </c>
      <c r="H45" s="439">
        <v>34933</v>
      </c>
      <c r="I45" s="439">
        <v>0</v>
      </c>
      <c r="J45" s="439">
        <v>0</v>
      </c>
      <c r="K45" s="44">
        <f>VLOOKUP(D45,'Charter School Remote Learning'!$C$9:$E$72,3,FALSE)</f>
        <v>34933</v>
      </c>
    </row>
    <row r="46" spans="1:11" ht="28.8" x14ac:dyDescent="0.3">
      <c r="A46" s="440" t="s">
        <v>704</v>
      </c>
      <c r="B46" s="440" t="s">
        <v>703</v>
      </c>
      <c r="C46" s="440" t="s">
        <v>702</v>
      </c>
      <c r="D46" s="440" t="s">
        <v>334</v>
      </c>
      <c r="E46" s="440" t="s">
        <v>701</v>
      </c>
      <c r="F46" s="439">
        <v>60000</v>
      </c>
      <c r="G46" s="439">
        <v>0</v>
      </c>
      <c r="H46" s="439">
        <v>60000</v>
      </c>
      <c r="I46" s="439">
        <v>0</v>
      </c>
      <c r="J46" s="439">
        <v>0</v>
      </c>
      <c r="K46" s="44">
        <f>VLOOKUP(D46,'Charter School Remote Learning'!$C$9:$E$72,3,FALSE)</f>
        <v>60000</v>
      </c>
    </row>
    <row r="47" spans="1:11" ht="28.8" x14ac:dyDescent="0.3">
      <c r="A47" s="440" t="s">
        <v>704</v>
      </c>
      <c r="B47" s="440" t="s">
        <v>703</v>
      </c>
      <c r="C47" s="440" t="s">
        <v>702</v>
      </c>
      <c r="D47" s="440" t="s">
        <v>596</v>
      </c>
      <c r="E47" s="440" t="s">
        <v>701</v>
      </c>
      <c r="F47" s="439">
        <v>26092</v>
      </c>
      <c r="G47" s="439">
        <v>0</v>
      </c>
      <c r="H47" s="439">
        <v>26092</v>
      </c>
      <c r="I47" s="439">
        <v>0</v>
      </c>
      <c r="J47" s="439">
        <v>0</v>
      </c>
      <c r="K47" s="44">
        <f>VLOOKUP(D47,'Charter School Remote Learning'!$C$9:$E$72,3,FALSE)</f>
        <v>26092</v>
      </c>
    </row>
    <row r="48" spans="1:11" ht="28.8" x14ac:dyDescent="0.3">
      <c r="A48" s="440" t="s">
        <v>704</v>
      </c>
      <c r="B48" s="440" t="s">
        <v>703</v>
      </c>
      <c r="C48" s="440" t="s">
        <v>702</v>
      </c>
      <c r="D48" s="440" t="s">
        <v>562</v>
      </c>
      <c r="E48" s="440" t="s">
        <v>701</v>
      </c>
      <c r="F48" s="439">
        <v>34985</v>
      </c>
      <c r="G48" s="439">
        <v>0</v>
      </c>
      <c r="H48" s="439">
        <v>34985</v>
      </c>
      <c r="I48" s="439">
        <v>0</v>
      </c>
      <c r="J48" s="439">
        <v>0</v>
      </c>
      <c r="K48" s="44">
        <f>VLOOKUP(D48,'Charter School Remote Learning'!$C$9:$E$72,3,FALSE)</f>
        <v>34985</v>
      </c>
    </row>
    <row r="49" spans="1:11" ht="28.8" x14ac:dyDescent="0.3">
      <c r="A49" s="440" t="s">
        <v>704</v>
      </c>
      <c r="B49" s="440" t="s">
        <v>703</v>
      </c>
      <c r="C49" s="440" t="s">
        <v>702</v>
      </c>
      <c r="D49" s="440" t="s">
        <v>581</v>
      </c>
      <c r="E49" s="440" t="s">
        <v>701</v>
      </c>
      <c r="F49" s="439">
        <v>35000</v>
      </c>
      <c r="G49" s="439">
        <v>0</v>
      </c>
      <c r="H49" s="439">
        <v>35000</v>
      </c>
      <c r="I49" s="439">
        <v>0</v>
      </c>
      <c r="J49" s="439">
        <v>0</v>
      </c>
      <c r="K49" s="44">
        <f>VLOOKUP(D49,'Charter School Remote Learning'!$C$9:$E$72,3,FALSE)</f>
        <v>35000</v>
      </c>
    </row>
    <row r="50" spans="1:11" ht="28.8" x14ac:dyDescent="0.3">
      <c r="A50" s="440" t="s">
        <v>704</v>
      </c>
      <c r="B50" s="440" t="s">
        <v>703</v>
      </c>
      <c r="C50" s="440" t="s">
        <v>702</v>
      </c>
      <c r="D50" s="440" t="s">
        <v>563</v>
      </c>
      <c r="E50" s="440" t="s">
        <v>701</v>
      </c>
      <c r="F50" s="439">
        <v>3046.8</v>
      </c>
      <c r="G50" s="439">
        <v>0</v>
      </c>
      <c r="H50" s="439">
        <v>3046.80004882813</v>
      </c>
      <c r="I50" s="439">
        <v>0</v>
      </c>
      <c r="J50" s="439">
        <v>0</v>
      </c>
      <c r="K50" s="44">
        <f>VLOOKUP(D50,'Charter School Remote Learning'!$C$9:$E$72,3,FALSE)</f>
        <v>23648.26</v>
      </c>
    </row>
    <row r="51" spans="1:11" ht="28.8" x14ac:dyDescent="0.3">
      <c r="A51" s="440" t="s">
        <v>704</v>
      </c>
      <c r="B51" s="440" t="s">
        <v>703</v>
      </c>
      <c r="C51" s="440" t="s">
        <v>702</v>
      </c>
      <c r="D51" s="440" t="s">
        <v>564</v>
      </c>
      <c r="E51" s="440" t="s">
        <v>701</v>
      </c>
      <c r="F51" s="439">
        <v>34580</v>
      </c>
      <c r="G51" s="439">
        <v>0</v>
      </c>
      <c r="H51" s="439">
        <v>34580</v>
      </c>
      <c r="I51" s="439">
        <v>0</v>
      </c>
      <c r="J51" s="439">
        <v>0</v>
      </c>
      <c r="K51" s="44">
        <f>VLOOKUP(D51,'Charter School Remote Learning'!$C$9:$E$72,3,FALSE)</f>
        <v>34580</v>
      </c>
    </row>
    <row r="52" spans="1:11" ht="28.8" x14ac:dyDescent="0.3">
      <c r="A52" s="440" t="s">
        <v>704</v>
      </c>
      <c r="B52" s="440" t="s">
        <v>703</v>
      </c>
      <c r="C52" s="440" t="s">
        <v>702</v>
      </c>
      <c r="D52" s="440" t="s">
        <v>565</v>
      </c>
      <c r="E52" s="440" t="s">
        <v>701</v>
      </c>
      <c r="F52" s="439">
        <v>9899.4</v>
      </c>
      <c r="G52" s="439">
        <v>0</v>
      </c>
      <c r="H52" s="439">
        <v>9899.400390625</v>
      </c>
      <c r="I52" s="439">
        <v>0</v>
      </c>
      <c r="J52" s="439">
        <v>0</v>
      </c>
      <c r="K52" s="44">
        <f>VLOOKUP(D52,'Charter School Remote Learning'!$C$9:$E$72,3,FALSE)</f>
        <v>9899.4</v>
      </c>
    </row>
    <row r="53" spans="1:11" ht="28.8" x14ac:dyDescent="0.3">
      <c r="A53" s="440" t="s">
        <v>704</v>
      </c>
      <c r="B53" s="440" t="s">
        <v>703</v>
      </c>
      <c r="C53" s="440" t="s">
        <v>702</v>
      </c>
      <c r="D53" s="440" t="s">
        <v>586</v>
      </c>
      <c r="E53" s="440" t="s">
        <v>701</v>
      </c>
      <c r="F53" s="439">
        <v>29124</v>
      </c>
      <c r="G53" s="439">
        <v>0</v>
      </c>
      <c r="H53" s="439">
        <v>29124</v>
      </c>
      <c r="I53" s="439">
        <v>0</v>
      </c>
      <c r="J53" s="439">
        <v>0</v>
      </c>
      <c r="K53" s="44">
        <f>VLOOKUP(D53,'Charter School Remote Learning'!$C$9:$E$72,3,FALSE)</f>
        <v>29124</v>
      </c>
    </row>
    <row r="54" spans="1:11" ht="28.8" x14ac:dyDescent="0.3">
      <c r="A54" s="440" t="s">
        <v>704</v>
      </c>
      <c r="B54" s="440" t="s">
        <v>703</v>
      </c>
      <c r="C54" s="440" t="s">
        <v>702</v>
      </c>
      <c r="D54" s="440" t="s">
        <v>597</v>
      </c>
      <c r="E54" s="440" t="s">
        <v>701</v>
      </c>
      <c r="F54" s="439">
        <v>10000</v>
      </c>
      <c r="G54" s="439">
        <v>0</v>
      </c>
      <c r="H54" s="439">
        <v>10000</v>
      </c>
      <c r="I54" s="439">
        <v>0</v>
      </c>
      <c r="J54" s="439">
        <v>0</v>
      </c>
      <c r="K54" s="44">
        <f>VLOOKUP(D54,'Charter School Remote Learning'!$C$9:$E$72,3,FALSE)</f>
        <v>10000</v>
      </c>
    </row>
    <row r="55" spans="1:11" ht="28.8" x14ac:dyDescent="0.3">
      <c r="A55" s="440" t="s">
        <v>704</v>
      </c>
      <c r="B55" s="440" t="s">
        <v>703</v>
      </c>
      <c r="C55" s="440" t="s">
        <v>702</v>
      </c>
      <c r="D55" s="440" t="s">
        <v>598</v>
      </c>
      <c r="E55" s="440" t="s">
        <v>701</v>
      </c>
      <c r="F55" s="439">
        <v>35000</v>
      </c>
      <c r="G55" s="439">
        <v>0</v>
      </c>
      <c r="H55" s="439">
        <v>35000</v>
      </c>
      <c r="I55" s="439">
        <v>0</v>
      </c>
      <c r="J55" s="439">
        <v>0</v>
      </c>
      <c r="K55" s="44">
        <f>VLOOKUP(D55,'Charter School Remote Learning'!$C$9:$E$72,3,FALSE)</f>
        <v>35000</v>
      </c>
    </row>
    <row r="56" spans="1:11" ht="28.8" x14ac:dyDescent="0.3">
      <c r="A56" s="440" t="s">
        <v>704</v>
      </c>
      <c r="B56" s="440" t="s">
        <v>703</v>
      </c>
      <c r="C56" s="440" t="s">
        <v>702</v>
      </c>
      <c r="D56" s="440" t="s">
        <v>575</v>
      </c>
      <c r="E56" s="440" t="s">
        <v>701</v>
      </c>
      <c r="F56" s="439">
        <v>35000</v>
      </c>
      <c r="G56" s="439">
        <v>0</v>
      </c>
      <c r="H56" s="439">
        <v>35000</v>
      </c>
      <c r="I56" s="439">
        <v>0</v>
      </c>
      <c r="J56" s="439">
        <v>0</v>
      </c>
      <c r="K56" s="44">
        <f>VLOOKUP(D56,'Charter School Remote Learning'!$C$9:$E$72,3,FALSE)</f>
        <v>35000</v>
      </c>
    </row>
    <row r="57" spans="1:11" ht="28.8" x14ac:dyDescent="0.3">
      <c r="A57" s="440" t="s">
        <v>704</v>
      </c>
      <c r="B57" s="440" t="s">
        <v>703</v>
      </c>
      <c r="C57" s="440" t="s">
        <v>702</v>
      </c>
      <c r="D57" s="440" t="s">
        <v>545</v>
      </c>
      <c r="E57" s="440" t="s">
        <v>701</v>
      </c>
      <c r="F57" s="439">
        <v>35000</v>
      </c>
      <c r="G57" s="439">
        <v>0</v>
      </c>
      <c r="H57" s="439">
        <v>35000</v>
      </c>
      <c r="I57" s="439">
        <v>0</v>
      </c>
      <c r="J57" s="439">
        <v>0</v>
      </c>
      <c r="K57" s="44">
        <f>VLOOKUP(D57,'Charter School Remote Learning'!$C$9:$E$72,3,FALSE)</f>
        <v>35000</v>
      </c>
    </row>
    <row r="58" spans="1:11" ht="28.8" x14ac:dyDescent="0.3">
      <c r="A58" s="440" t="s">
        <v>704</v>
      </c>
      <c r="B58" s="440" t="s">
        <v>703</v>
      </c>
      <c r="C58" s="440" t="s">
        <v>702</v>
      </c>
      <c r="D58" s="440" t="s">
        <v>574</v>
      </c>
      <c r="E58" s="440" t="s">
        <v>701</v>
      </c>
      <c r="F58" s="439">
        <v>10000</v>
      </c>
      <c r="G58" s="439">
        <v>0</v>
      </c>
      <c r="H58" s="439">
        <v>10000</v>
      </c>
      <c r="I58" s="439">
        <v>0</v>
      </c>
      <c r="J58" s="439">
        <v>0</v>
      </c>
      <c r="K58" s="44">
        <f>VLOOKUP(D58,'Charter School Remote Learning'!$C$9:$E$72,3,FALSE)</f>
        <v>10000</v>
      </c>
    </row>
    <row r="59" spans="1:11" ht="28.8" x14ac:dyDescent="0.3">
      <c r="A59" s="440" t="s">
        <v>704</v>
      </c>
      <c r="B59" s="440" t="s">
        <v>703</v>
      </c>
      <c r="C59" s="440" t="s">
        <v>702</v>
      </c>
      <c r="D59" s="440" t="s">
        <v>569</v>
      </c>
      <c r="E59" s="440" t="s">
        <v>701</v>
      </c>
      <c r="F59" s="439">
        <v>9899</v>
      </c>
      <c r="G59" s="439">
        <v>0</v>
      </c>
      <c r="H59" s="439">
        <v>9899</v>
      </c>
      <c r="I59" s="439">
        <v>0</v>
      </c>
      <c r="J59" s="439">
        <v>0</v>
      </c>
      <c r="K59" s="44">
        <f>VLOOKUP(D59,'Charter School Remote Learning'!$C$9:$E$72,3,FALSE)</f>
        <v>9899</v>
      </c>
    </row>
    <row r="60" spans="1:11" ht="28.8" x14ac:dyDescent="0.3">
      <c r="A60" s="440" t="s">
        <v>704</v>
      </c>
      <c r="B60" s="440" t="s">
        <v>703</v>
      </c>
      <c r="C60" s="440" t="s">
        <v>702</v>
      </c>
      <c r="D60" s="440" t="s">
        <v>570</v>
      </c>
      <c r="E60" s="440" t="s">
        <v>701</v>
      </c>
      <c r="F60" s="439">
        <v>34883.599999999999</v>
      </c>
      <c r="G60" s="439">
        <v>0</v>
      </c>
      <c r="H60" s="439">
        <v>34883.6015625</v>
      </c>
      <c r="I60" s="439">
        <v>0</v>
      </c>
      <c r="J60" s="439">
        <v>0</v>
      </c>
      <c r="K60" s="44">
        <f>VLOOKUP(D60,'Charter School Remote Learning'!$C$9:$E$72,3,FALSE)</f>
        <v>34883.599999999999</v>
      </c>
    </row>
    <row r="61" spans="1:11" ht="28.8" x14ac:dyDescent="0.3">
      <c r="A61" s="440" t="s">
        <v>704</v>
      </c>
      <c r="B61" s="440" t="s">
        <v>703</v>
      </c>
      <c r="C61" s="440" t="s">
        <v>702</v>
      </c>
      <c r="D61" s="440" t="s">
        <v>566</v>
      </c>
      <c r="E61" s="440" t="s">
        <v>701</v>
      </c>
      <c r="F61" s="439">
        <v>24984.2</v>
      </c>
      <c r="G61" s="439">
        <v>0</v>
      </c>
      <c r="H61" s="439">
        <v>24984.19921875</v>
      </c>
      <c r="I61" s="439">
        <v>0</v>
      </c>
      <c r="J61" s="439">
        <v>0</v>
      </c>
      <c r="K61" s="44">
        <f>VLOOKUP(D61,'Charter School Remote Learning'!$C$9:$E$72,3,FALSE)</f>
        <v>24984.2</v>
      </c>
    </row>
    <row r="62" spans="1:11" ht="28.8" x14ac:dyDescent="0.3">
      <c r="A62" s="440" t="s">
        <v>704</v>
      </c>
      <c r="B62" s="440" t="s">
        <v>703</v>
      </c>
      <c r="C62" s="440" t="s">
        <v>702</v>
      </c>
      <c r="D62" s="440" t="s">
        <v>572</v>
      </c>
      <c r="E62" s="440" t="s">
        <v>701</v>
      </c>
      <c r="F62" s="439">
        <v>35000</v>
      </c>
      <c r="G62" s="439">
        <v>0</v>
      </c>
      <c r="H62" s="439">
        <v>35000</v>
      </c>
      <c r="I62" s="439">
        <v>0</v>
      </c>
      <c r="J62" s="439">
        <v>0</v>
      </c>
      <c r="K62" s="44">
        <f>VLOOKUP(D62,'Charter School Remote Learning'!$C$9:$E$72,3,FALSE)</f>
        <v>35000</v>
      </c>
    </row>
    <row r="63" spans="1:11" ht="28.8" x14ac:dyDescent="0.3">
      <c r="A63" s="440" t="s">
        <v>704</v>
      </c>
      <c r="B63" s="440" t="s">
        <v>703</v>
      </c>
      <c r="C63" s="440" t="s">
        <v>702</v>
      </c>
      <c r="D63" s="440" t="s">
        <v>568</v>
      </c>
      <c r="E63" s="440" t="s">
        <v>701</v>
      </c>
      <c r="F63" s="439">
        <v>9899.4</v>
      </c>
      <c r="G63" s="439">
        <v>0</v>
      </c>
      <c r="H63" s="439">
        <v>9899.400390625</v>
      </c>
      <c r="I63" s="439">
        <v>0</v>
      </c>
      <c r="J63" s="439">
        <v>0</v>
      </c>
      <c r="K63" s="44">
        <f>VLOOKUP(D63,'Charter School Remote Learning'!$C$9:$E$72,3,FALSE)</f>
        <v>9899.4</v>
      </c>
    </row>
    <row r="64" spans="1:11" ht="28.8" x14ac:dyDescent="0.3">
      <c r="A64" s="440" t="s">
        <v>704</v>
      </c>
      <c r="B64" s="440" t="s">
        <v>703</v>
      </c>
      <c r="C64" s="440" t="s">
        <v>702</v>
      </c>
      <c r="D64" s="440" t="s">
        <v>567</v>
      </c>
      <c r="E64" s="440" t="s">
        <v>701</v>
      </c>
      <c r="F64" s="439">
        <v>9899.44</v>
      </c>
      <c r="G64" s="439">
        <v>0</v>
      </c>
      <c r="H64" s="439">
        <v>9899.4404296875</v>
      </c>
      <c r="I64" s="439">
        <v>0</v>
      </c>
      <c r="J64" s="439">
        <v>0</v>
      </c>
      <c r="K64" s="44">
        <f>VLOOKUP(D64,'Charter School Remote Learning'!$C$9:$E$72,3,FALSE)</f>
        <v>9899.44</v>
      </c>
    </row>
    <row r="65" spans="1:11" ht="28.8" x14ac:dyDescent="0.3">
      <c r="A65" s="440" t="s">
        <v>704</v>
      </c>
      <c r="B65" s="440" t="s">
        <v>703</v>
      </c>
      <c r="C65" s="440" t="s">
        <v>702</v>
      </c>
      <c r="D65" s="440" t="s">
        <v>571</v>
      </c>
      <c r="E65" s="440" t="s">
        <v>701</v>
      </c>
      <c r="F65" s="439">
        <v>35000</v>
      </c>
      <c r="G65" s="439">
        <v>0</v>
      </c>
      <c r="H65" s="439">
        <v>35000</v>
      </c>
      <c r="I65" s="439">
        <v>0</v>
      </c>
      <c r="J65" s="439">
        <v>0</v>
      </c>
      <c r="K65" s="44">
        <f>VLOOKUP(D65,'Charter School Remote Learning'!$C$9:$E$72,3,FALSE)</f>
        <v>35000</v>
      </c>
    </row>
    <row r="66" spans="1:11" x14ac:dyDescent="0.3">
      <c r="K66" s="44" t="e">
        <f>VLOOKUP(D66,'Charter School Remote Learning'!$C$9:$E$72,3,FALSE)</f>
        <v>#N/A</v>
      </c>
    </row>
    <row r="67" spans="1:11" x14ac:dyDescent="0.3">
      <c r="H67" s="215">
        <f>SUM(H2:H65)</f>
        <v>1614203.3537597656</v>
      </c>
    </row>
  </sheetData>
  <autoFilter ref="A1:J67" xr:uid="{00000000-0001-0000-0000-000000000000}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20B42-95A0-45B0-9F0E-F23F6B8D9F82}">
  <sheetPr codeName="Sheet10">
    <tabColor theme="2"/>
  </sheetPr>
  <dimension ref="A1:CF97"/>
  <sheetViews>
    <sheetView workbookViewId="0">
      <pane ySplit="8" topLeftCell="A9" activePane="bottomLeft" state="frozen"/>
      <selection pane="bottomLeft" activeCell="W9" sqref="W9"/>
    </sheetView>
  </sheetViews>
  <sheetFormatPr defaultColWidth="9.44140625" defaultRowHeight="14.4" x14ac:dyDescent="0.3"/>
  <cols>
    <col min="1" max="1" width="9.44140625" style="45"/>
    <col min="2" max="2" width="34.44140625" style="45" customWidth="1"/>
    <col min="3" max="3" width="9.5546875" style="45" customWidth="1"/>
    <col min="4" max="4" width="44.5546875" style="45" customWidth="1"/>
    <col min="5" max="7" width="14.5546875" style="45" customWidth="1"/>
    <col min="8" max="20" width="12.5546875" style="45" hidden="1" customWidth="1"/>
    <col min="21" max="21" width="12.5546875" style="45" customWidth="1"/>
    <col min="22" max="22" width="12.5546875" style="438" customWidth="1"/>
    <col min="23" max="26" width="12.5546875" style="45" customWidth="1"/>
    <col min="27" max="16384" width="9.44140625" style="45"/>
  </cols>
  <sheetData>
    <row r="1" spans="1:84" ht="21" x14ac:dyDescent="0.4">
      <c r="A1" s="47" t="s">
        <v>0</v>
      </c>
      <c r="B1" s="53"/>
      <c r="C1" s="48" t="s">
        <v>534</v>
      </c>
      <c r="D1" s="48"/>
      <c r="E1" s="54"/>
      <c r="F1" s="54"/>
      <c r="G1" s="53"/>
      <c r="H1" s="53"/>
      <c r="I1" s="53"/>
      <c r="J1" s="48"/>
      <c r="K1" s="53"/>
      <c r="L1" s="48" t="str">
        <f>$C$1</f>
        <v>Title V-B Charter School Grant Program Remote Learning Grant</v>
      </c>
      <c r="M1" s="53"/>
      <c r="N1" s="53"/>
      <c r="O1" s="53"/>
      <c r="P1" s="53"/>
      <c r="Q1" s="48"/>
      <c r="R1" s="48" t="str">
        <f>$C$1</f>
        <v>Title V-B Charter School Grant Program Remote Learning Grant</v>
      </c>
      <c r="S1" s="53"/>
      <c r="T1" s="53"/>
      <c r="U1" s="53"/>
      <c r="V1" s="433"/>
      <c r="W1" s="53"/>
      <c r="X1" s="53"/>
      <c r="Y1" s="48" t="str">
        <f>$C$1</f>
        <v>Title V-B Charter School Grant Program Remote Learning Grant</v>
      </c>
      <c r="Z1" s="53"/>
    </row>
    <row r="2" spans="1:84" ht="21" x14ac:dyDescent="0.4">
      <c r="A2" s="47" t="s">
        <v>147</v>
      </c>
      <c r="B2" s="49"/>
      <c r="C2" s="48" t="s">
        <v>664</v>
      </c>
      <c r="D2" s="48"/>
      <c r="E2" s="54"/>
      <c r="F2" s="54"/>
      <c r="G2" s="53"/>
      <c r="H2" s="53"/>
      <c r="I2" s="53"/>
      <c r="J2" s="50"/>
      <c r="K2" s="53"/>
      <c r="L2" s="50" t="str">
        <f>"FY"&amp;$C$4</f>
        <v>FY2020-21</v>
      </c>
      <c r="M2" s="53"/>
      <c r="N2" s="53"/>
      <c r="O2" s="53"/>
      <c r="P2" s="53"/>
      <c r="Q2" s="56"/>
      <c r="R2" s="50" t="str">
        <f>"FY"&amp;$C$4</f>
        <v>FY2020-21</v>
      </c>
      <c r="S2" s="53"/>
      <c r="T2" s="53"/>
      <c r="U2" s="53"/>
      <c r="V2" s="433"/>
      <c r="W2" s="53"/>
      <c r="X2" s="53"/>
      <c r="Y2" s="50" t="str">
        <f>"FY"&amp;$C$4</f>
        <v>FY2020-21</v>
      </c>
      <c r="Z2" s="53"/>
    </row>
    <row r="3" spans="1:84" ht="15.6" x14ac:dyDescent="0.3">
      <c r="A3" s="50" t="s">
        <v>1</v>
      </c>
      <c r="B3" s="53"/>
      <c r="C3" s="51">
        <v>8282</v>
      </c>
      <c r="D3" s="51" t="s">
        <v>33</v>
      </c>
      <c r="E3" s="54"/>
      <c r="F3" s="54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433"/>
      <c r="W3" s="53"/>
      <c r="X3" s="53"/>
      <c r="Y3" s="53"/>
      <c r="Z3" s="53"/>
    </row>
    <row r="4" spans="1:84" ht="15.6" x14ac:dyDescent="0.3">
      <c r="A4" s="50" t="s">
        <v>2</v>
      </c>
      <c r="B4" s="53"/>
      <c r="C4" s="51" t="s">
        <v>495</v>
      </c>
      <c r="D4" s="51"/>
      <c r="E4" s="50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433"/>
      <c r="W4" s="53"/>
      <c r="X4" s="53"/>
      <c r="Y4" s="53"/>
      <c r="Z4" s="53"/>
    </row>
    <row r="5" spans="1:84" ht="15.6" x14ac:dyDescent="0.3">
      <c r="A5" s="50" t="s">
        <v>469</v>
      </c>
      <c r="B5" s="53"/>
      <c r="C5" s="383" t="s">
        <v>678</v>
      </c>
      <c r="D5" s="50"/>
      <c r="E5" s="54"/>
      <c r="F5" s="5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433"/>
      <c r="W5" s="53"/>
      <c r="X5" s="53"/>
      <c r="Y5" s="53"/>
      <c r="Z5" s="53"/>
    </row>
    <row r="6" spans="1:84" ht="15.6" x14ac:dyDescent="0.3">
      <c r="A6" s="50"/>
      <c r="B6" s="53"/>
      <c r="C6" s="67"/>
      <c r="D6" s="50"/>
      <c r="E6" s="54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433"/>
      <c r="W6" s="53"/>
      <c r="X6" s="53"/>
      <c r="Y6" s="53"/>
      <c r="Z6" s="53"/>
    </row>
    <row r="7" spans="1:84" ht="15" thickBot="1" x14ac:dyDescent="0.35">
      <c r="A7" s="53"/>
      <c r="B7" s="53"/>
      <c r="C7" s="53"/>
      <c r="D7" s="53"/>
      <c r="E7" s="53"/>
      <c r="F7" s="53" t="s">
        <v>33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433"/>
      <c r="W7" s="53"/>
      <c r="X7" s="53"/>
      <c r="Y7" s="53"/>
      <c r="Z7" s="53"/>
    </row>
    <row r="8" spans="1:84" ht="29.4" thickBot="1" x14ac:dyDescent="0.35">
      <c r="A8" s="57" t="s">
        <v>138</v>
      </c>
      <c r="B8" s="57" t="s">
        <v>139</v>
      </c>
      <c r="C8" s="57" t="s">
        <v>145</v>
      </c>
      <c r="D8" s="57" t="s">
        <v>43</v>
      </c>
      <c r="E8" s="55" t="s">
        <v>404</v>
      </c>
      <c r="F8" s="55" t="s">
        <v>16</v>
      </c>
      <c r="G8" s="25" t="s">
        <v>17</v>
      </c>
      <c r="H8" s="26" t="s">
        <v>238</v>
      </c>
      <c r="I8" s="27" t="s">
        <v>239</v>
      </c>
      <c r="J8" s="26" t="s">
        <v>240</v>
      </c>
      <c r="K8" s="27" t="s">
        <v>400</v>
      </c>
      <c r="L8" s="26" t="s">
        <v>401</v>
      </c>
      <c r="M8" s="27" t="s">
        <v>466</v>
      </c>
      <c r="N8" s="27" t="s">
        <v>496</v>
      </c>
      <c r="O8" s="27" t="s">
        <v>497</v>
      </c>
      <c r="P8" s="27" t="s">
        <v>498</v>
      </c>
      <c r="Q8" s="27" t="s">
        <v>499</v>
      </c>
      <c r="R8" s="27" t="s">
        <v>500</v>
      </c>
      <c r="S8" s="27" t="s">
        <v>501</v>
      </c>
      <c r="T8" s="26" t="s">
        <v>502</v>
      </c>
      <c r="U8" s="27" t="s">
        <v>503</v>
      </c>
      <c r="V8" s="27" t="s">
        <v>504</v>
      </c>
      <c r="W8" s="27" t="s">
        <v>505</v>
      </c>
      <c r="X8" s="26" t="s">
        <v>506</v>
      </c>
      <c r="Y8" s="27" t="s">
        <v>130</v>
      </c>
      <c r="Z8" s="12" t="s">
        <v>157</v>
      </c>
    </row>
    <row r="9" spans="1:84" ht="15" thickBot="1" x14ac:dyDescent="0.35">
      <c r="A9" s="378" t="s">
        <v>54</v>
      </c>
      <c r="B9" s="379" t="s">
        <v>192</v>
      </c>
      <c r="C9" s="378" t="s">
        <v>679</v>
      </c>
      <c r="D9" s="381" t="s">
        <v>599</v>
      </c>
      <c r="E9" s="377">
        <v>23408</v>
      </c>
      <c r="F9" s="369">
        <f>SUM(H9:Z9)</f>
        <v>21957.160000000003</v>
      </c>
      <c r="G9" s="217">
        <f t="shared" ref="G9:G40" si="0">E9-F9</f>
        <v>1450.8399999999965</v>
      </c>
      <c r="H9" s="256"/>
      <c r="I9" s="256"/>
      <c r="J9" s="256"/>
      <c r="K9" s="256"/>
      <c r="L9" s="256"/>
      <c r="M9" s="256"/>
      <c r="N9" s="256"/>
      <c r="O9" s="256"/>
      <c r="P9" s="256">
        <v>3096.15</v>
      </c>
      <c r="Q9" s="256">
        <v>2320.86</v>
      </c>
      <c r="R9" s="256"/>
      <c r="S9" s="256">
        <v>6967.57</v>
      </c>
      <c r="T9" s="256"/>
      <c r="U9" s="256"/>
      <c r="V9" s="256">
        <v>6226.07</v>
      </c>
      <c r="W9" s="256">
        <v>3346.51</v>
      </c>
      <c r="X9" s="256"/>
      <c r="Y9" s="256"/>
      <c r="Z9" s="373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</row>
    <row r="10" spans="1:84" ht="43.8" thickBot="1" x14ac:dyDescent="0.35">
      <c r="A10" s="159" t="s">
        <v>4</v>
      </c>
      <c r="B10" s="183" t="s">
        <v>535</v>
      </c>
      <c r="C10" s="159" t="s">
        <v>544</v>
      </c>
      <c r="D10" s="365" t="s">
        <v>600</v>
      </c>
      <c r="E10" s="371">
        <v>35000</v>
      </c>
      <c r="F10" s="369">
        <f>SUM(H10:Z10)</f>
        <v>35000</v>
      </c>
      <c r="G10" s="217">
        <f t="shared" si="0"/>
        <v>0</v>
      </c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>
        <v>35000</v>
      </c>
      <c r="U10" s="256"/>
      <c r="V10" s="256"/>
      <c r="W10" s="256"/>
      <c r="X10" s="256"/>
      <c r="Y10" s="256"/>
      <c r="Z10" s="373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</row>
    <row r="11" spans="1:84" ht="43.8" thickBot="1" x14ac:dyDescent="0.35">
      <c r="A11" s="159" t="s">
        <v>4</v>
      </c>
      <c r="B11" s="183" t="s">
        <v>535</v>
      </c>
      <c r="C11" s="186" t="s">
        <v>668</v>
      </c>
      <c r="D11" s="365" t="s">
        <v>673</v>
      </c>
      <c r="E11" s="371">
        <v>31310.240000000002</v>
      </c>
      <c r="F11" s="369">
        <f t="shared" ref="F11" si="1">SUM(H11:Z11)</f>
        <v>31310</v>
      </c>
      <c r="G11" s="217">
        <f t="shared" si="0"/>
        <v>0.24000000000160071</v>
      </c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>
        <v>31310</v>
      </c>
      <c r="X11" s="256"/>
      <c r="Y11" s="256"/>
      <c r="Z11" s="373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43.8" thickBot="1" x14ac:dyDescent="0.35">
      <c r="A12" s="159" t="s">
        <v>4</v>
      </c>
      <c r="B12" s="183" t="s">
        <v>535</v>
      </c>
      <c r="C12" s="159" t="s">
        <v>545</v>
      </c>
      <c r="D12" s="365" t="s">
        <v>317</v>
      </c>
      <c r="E12" s="371">
        <v>35000</v>
      </c>
      <c r="F12" s="369">
        <f t="shared" ref="F12:F30" si="2">SUM(H12:Z12)</f>
        <v>35000</v>
      </c>
      <c r="G12" s="217">
        <f t="shared" si="0"/>
        <v>0</v>
      </c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>
        <v>35000</v>
      </c>
      <c r="U12" s="256"/>
      <c r="V12" s="256"/>
      <c r="W12" s="256"/>
      <c r="X12" s="256"/>
      <c r="Y12" s="256"/>
      <c r="Z12" s="373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</row>
    <row r="13" spans="1:84" ht="15" thickBot="1" x14ac:dyDescent="0.35">
      <c r="A13" s="159" t="s">
        <v>536</v>
      </c>
      <c r="B13" s="183" t="s">
        <v>537</v>
      </c>
      <c r="C13" s="159" t="s">
        <v>546</v>
      </c>
      <c r="D13" s="365" t="s">
        <v>601</v>
      </c>
      <c r="E13" s="371">
        <v>35000</v>
      </c>
      <c r="F13" s="369">
        <f t="shared" si="2"/>
        <v>31660.66</v>
      </c>
      <c r="G13" s="217">
        <f t="shared" si="0"/>
        <v>3339.34</v>
      </c>
      <c r="H13" s="256"/>
      <c r="I13" s="256"/>
      <c r="J13" s="256"/>
      <c r="K13" s="256"/>
      <c r="L13" s="256"/>
      <c r="M13" s="256"/>
      <c r="N13" s="256"/>
      <c r="O13" s="256">
        <v>9258.2000000000007</v>
      </c>
      <c r="P13" s="256"/>
      <c r="Q13" s="256">
        <v>5814.64</v>
      </c>
      <c r="R13" s="256"/>
      <c r="S13" s="256">
        <v>9532.02</v>
      </c>
      <c r="T13" s="256">
        <v>7055.8</v>
      </c>
      <c r="U13" s="256"/>
      <c r="V13" s="256"/>
      <c r="W13" s="256"/>
      <c r="X13" s="256"/>
      <c r="Y13" s="256"/>
      <c r="Z13" s="373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</row>
    <row r="14" spans="1:84" ht="15" thickBot="1" x14ac:dyDescent="0.35">
      <c r="A14" s="159" t="s">
        <v>5</v>
      </c>
      <c r="B14" s="183" t="s">
        <v>166</v>
      </c>
      <c r="C14" s="159" t="s">
        <v>547</v>
      </c>
      <c r="D14" s="365" t="s">
        <v>602</v>
      </c>
      <c r="E14" s="371">
        <v>15000</v>
      </c>
      <c r="F14" s="369">
        <f t="shared" si="2"/>
        <v>15000</v>
      </c>
      <c r="G14" s="217">
        <f t="shared" si="0"/>
        <v>0</v>
      </c>
      <c r="H14" s="256"/>
      <c r="I14" s="256"/>
      <c r="J14" s="256"/>
      <c r="K14" s="256"/>
      <c r="L14" s="256"/>
      <c r="M14" s="256"/>
      <c r="N14" s="256"/>
      <c r="O14" s="256">
        <v>14820</v>
      </c>
      <c r="P14" s="256"/>
      <c r="Q14" s="256"/>
      <c r="R14" s="256"/>
      <c r="S14" s="256"/>
      <c r="T14" s="256">
        <v>180</v>
      </c>
      <c r="U14" s="256"/>
      <c r="V14" s="256"/>
      <c r="W14" s="256"/>
      <c r="X14" s="256"/>
      <c r="Y14" s="256"/>
      <c r="Z14" s="373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15" thickBot="1" x14ac:dyDescent="0.35">
      <c r="A15" s="159" t="s">
        <v>5</v>
      </c>
      <c r="B15" s="183" t="s">
        <v>166</v>
      </c>
      <c r="C15" s="159" t="s">
        <v>281</v>
      </c>
      <c r="D15" s="365" t="s">
        <v>301</v>
      </c>
      <c r="E15" s="371">
        <v>35000</v>
      </c>
      <c r="F15" s="369">
        <f t="shared" si="2"/>
        <v>35000</v>
      </c>
      <c r="G15" s="217">
        <f t="shared" si="0"/>
        <v>0</v>
      </c>
      <c r="H15" s="256"/>
      <c r="I15" s="256"/>
      <c r="J15" s="256"/>
      <c r="K15" s="256"/>
      <c r="L15" s="256"/>
      <c r="M15" s="256"/>
      <c r="N15" s="256"/>
      <c r="O15" s="256"/>
      <c r="P15" s="256"/>
      <c r="Q15" s="256">
        <v>4054.39</v>
      </c>
      <c r="R15" s="256"/>
      <c r="S15" s="256"/>
      <c r="T15" s="256">
        <v>30945.61</v>
      </c>
      <c r="U15" s="256"/>
      <c r="V15" s="256"/>
      <c r="W15" s="256"/>
      <c r="X15" s="256"/>
      <c r="Y15" s="256"/>
      <c r="Z15" s="373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15" thickBot="1" x14ac:dyDescent="0.35">
      <c r="A16" s="159" t="s">
        <v>538</v>
      </c>
      <c r="B16" s="183" t="s">
        <v>539</v>
      </c>
      <c r="C16" s="159" t="s">
        <v>548</v>
      </c>
      <c r="D16" s="365" t="s">
        <v>603</v>
      </c>
      <c r="E16" s="371">
        <v>24875.32</v>
      </c>
      <c r="F16" s="369">
        <f t="shared" si="2"/>
        <v>13409.53</v>
      </c>
      <c r="G16" s="217">
        <f t="shared" si="0"/>
        <v>11465.789999999999</v>
      </c>
      <c r="H16" s="256"/>
      <c r="I16" s="256"/>
      <c r="J16" s="256"/>
      <c r="K16" s="256"/>
      <c r="L16" s="256"/>
      <c r="M16" s="256"/>
      <c r="N16" s="256"/>
      <c r="O16" s="256"/>
      <c r="P16" s="256"/>
      <c r="Q16" s="256">
        <v>10009.530000000001</v>
      </c>
      <c r="R16" s="256">
        <v>3400</v>
      </c>
      <c r="S16" s="256"/>
      <c r="T16" s="256"/>
      <c r="U16" s="256"/>
      <c r="V16" s="256"/>
      <c r="W16" s="256"/>
      <c r="X16" s="256"/>
      <c r="Y16" s="256"/>
      <c r="Z16" s="373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29.4" thickBot="1" x14ac:dyDescent="0.35">
      <c r="A17" s="159" t="s">
        <v>51</v>
      </c>
      <c r="B17" s="183" t="s">
        <v>167</v>
      </c>
      <c r="C17" s="159" t="s">
        <v>549</v>
      </c>
      <c r="D17" s="365" t="s">
        <v>654</v>
      </c>
      <c r="E17" s="371">
        <v>25000</v>
      </c>
      <c r="F17" s="369">
        <f t="shared" si="2"/>
        <v>25000</v>
      </c>
      <c r="G17" s="217">
        <f t="shared" si="0"/>
        <v>0</v>
      </c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>
        <v>25000</v>
      </c>
      <c r="X17" s="256"/>
      <c r="Y17" s="256"/>
      <c r="Z17" s="373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29.4" thickBot="1" x14ac:dyDescent="0.35">
      <c r="A18" s="159" t="s">
        <v>51</v>
      </c>
      <c r="B18" s="183" t="s">
        <v>167</v>
      </c>
      <c r="C18" s="159" t="s">
        <v>550</v>
      </c>
      <c r="D18" s="365" t="s">
        <v>604</v>
      </c>
      <c r="E18" s="371">
        <v>25000</v>
      </c>
      <c r="F18" s="369">
        <f t="shared" si="2"/>
        <v>25000</v>
      </c>
      <c r="G18" s="217">
        <f t="shared" si="0"/>
        <v>0</v>
      </c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>
        <v>25000</v>
      </c>
      <c r="X18" s="256"/>
      <c r="Y18" s="256"/>
      <c r="Z18" s="373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29.4" thickBot="1" x14ac:dyDescent="0.35">
      <c r="A19" s="159" t="s">
        <v>51</v>
      </c>
      <c r="B19" s="183" t="s">
        <v>167</v>
      </c>
      <c r="C19" s="159" t="s">
        <v>551</v>
      </c>
      <c r="D19" s="365" t="s">
        <v>605</v>
      </c>
      <c r="E19" s="371">
        <v>35000</v>
      </c>
      <c r="F19" s="369">
        <f t="shared" si="2"/>
        <v>35000</v>
      </c>
      <c r="G19" s="217">
        <f t="shared" si="0"/>
        <v>0</v>
      </c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>
        <v>35000</v>
      </c>
      <c r="X19" s="256"/>
      <c r="Y19" s="256"/>
      <c r="Z19" s="373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29.4" thickBot="1" x14ac:dyDescent="0.35">
      <c r="A20" s="159" t="s">
        <v>51</v>
      </c>
      <c r="B20" s="183" t="s">
        <v>167</v>
      </c>
      <c r="C20" s="159" t="s">
        <v>552</v>
      </c>
      <c r="D20" s="365" t="s">
        <v>606</v>
      </c>
      <c r="E20" s="371">
        <v>35000</v>
      </c>
      <c r="F20" s="369">
        <f t="shared" si="2"/>
        <v>35000</v>
      </c>
      <c r="G20" s="217">
        <f t="shared" si="0"/>
        <v>0</v>
      </c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>
        <v>35000</v>
      </c>
      <c r="X20" s="256"/>
      <c r="Y20" s="256"/>
      <c r="Z20" s="373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29.4" thickBot="1" x14ac:dyDescent="0.35">
      <c r="A21" s="159" t="s">
        <v>51</v>
      </c>
      <c r="B21" s="183" t="s">
        <v>167</v>
      </c>
      <c r="C21" s="159" t="s">
        <v>553</v>
      </c>
      <c r="D21" s="365" t="s">
        <v>607</v>
      </c>
      <c r="E21" s="371">
        <v>10000</v>
      </c>
      <c r="F21" s="369">
        <f t="shared" si="2"/>
        <v>2773</v>
      </c>
      <c r="G21" s="217">
        <f t="shared" si="0"/>
        <v>7227</v>
      </c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>
        <v>2773</v>
      </c>
      <c r="X21" s="256"/>
      <c r="Y21" s="256"/>
      <c r="Z21" s="373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</row>
    <row r="22" spans="1:84" ht="29.4" thickBot="1" x14ac:dyDescent="0.35">
      <c r="A22" s="159" t="s">
        <v>51</v>
      </c>
      <c r="B22" s="183" t="s">
        <v>167</v>
      </c>
      <c r="C22" s="159" t="s">
        <v>554</v>
      </c>
      <c r="D22" s="365" t="s">
        <v>608</v>
      </c>
      <c r="E22" s="371">
        <v>10000</v>
      </c>
      <c r="F22" s="369">
        <f t="shared" si="2"/>
        <v>4234</v>
      </c>
      <c r="G22" s="217">
        <f t="shared" si="0"/>
        <v>5766</v>
      </c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>
        <v>4234</v>
      </c>
      <c r="X22" s="256"/>
      <c r="Y22" s="256"/>
      <c r="Z22" s="373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</row>
    <row r="23" spans="1:84" ht="29.4" thickBot="1" x14ac:dyDescent="0.35">
      <c r="A23" s="159" t="s">
        <v>51</v>
      </c>
      <c r="B23" s="183" t="s">
        <v>167</v>
      </c>
      <c r="C23" s="159" t="s">
        <v>555</v>
      </c>
      <c r="D23" s="365" t="s">
        <v>609</v>
      </c>
      <c r="E23" s="371">
        <v>10000</v>
      </c>
      <c r="F23" s="369">
        <f t="shared" si="2"/>
        <v>10000</v>
      </c>
      <c r="G23" s="217">
        <f t="shared" si="0"/>
        <v>0</v>
      </c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>
        <v>10000</v>
      </c>
      <c r="X23" s="256"/>
      <c r="Y23" s="256"/>
      <c r="Z23" s="373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pans="1:84" ht="29.4" thickBot="1" x14ac:dyDescent="0.35">
      <c r="A24" s="159" t="s">
        <v>51</v>
      </c>
      <c r="B24" s="183" t="s">
        <v>167</v>
      </c>
      <c r="C24" s="159" t="s">
        <v>556</v>
      </c>
      <c r="D24" s="365" t="s">
        <v>610</v>
      </c>
      <c r="E24" s="371">
        <v>10000</v>
      </c>
      <c r="F24" s="369">
        <f t="shared" si="2"/>
        <v>10000</v>
      </c>
      <c r="G24" s="217">
        <f t="shared" si="0"/>
        <v>0</v>
      </c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>
        <v>10000</v>
      </c>
      <c r="X24" s="256"/>
      <c r="Y24" s="256"/>
      <c r="Z24" s="373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29.4" thickBot="1" x14ac:dyDescent="0.35">
      <c r="A25" s="159" t="s">
        <v>51</v>
      </c>
      <c r="B25" s="183" t="s">
        <v>167</v>
      </c>
      <c r="C25" s="159" t="s">
        <v>557</v>
      </c>
      <c r="D25" s="365" t="s">
        <v>611</v>
      </c>
      <c r="E25" s="371">
        <v>10000</v>
      </c>
      <c r="F25" s="369">
        <f t="shared" si="2"/>
        <v>10000</v>
      </c>
      <c r="G25" s="217">
        <f t="shared" si="0"/>
        <v>0</v>
      </c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>
        <v>10000</v>
      </c>
      <c r="X25" s="256"/>
      <c r="Y25" s="256"/>
      <c r="Z25" s="373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29.4" thickBot="1" x14ac:dyDescent="0.35">
      <c r="A26" s="159" t="s">
        <v>51</v>
      </c>
      <c r="B26" s="183" t="s">
        <v>167</v>
      </c>
      <c r="C26" s="159" t="s">
        <v>558</v>
      </c>
      <c r="D26" s="365" t="s">
        <v>612</v>
      </c>
      <c r="E26" s="371">
        <v>10000</v>
      </c>
      <c r="F26" s="369">
        <f t="shared" si="2"/>
        <v>1258.5</v>
      </c>
      <c r="G26" s="217">
        <f t="shared" si="0"/>
        <v>8741.5</v>
      </c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>
        <v>1258.5</v>
      </c>
      <c r="X26" s="256"/>
      <c r="Y26" s="256"/>
      <c r="Z26" s="373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29.4" thickBot="1" x14ac:dyDescent="0.35">
      <c r="A27" s="159" t="s">
        <v>51</v>
      </c>
      <c r="B27" s="183" t="s">
        <v>167</v>
      </c>
      <c r="C27" s="159" t="s">
        <v>559</v>
      </c>
      <c r="D27" s="365" t="s">
        <v>613</v>
      </c>
      <c r="E27" s="371">
        <v>35000</v>
      </c>
      <c r="F27" s="369">
        <f t="shared" si="2"/>
        <v>35000</v>
      </c>
      <c r="G27" s="217">
        <f t="shared" si="0"/>
        <v>0</v>
      </c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>
        <v>35000</v>
      </c>
      <c r="X27" s="256"/>
      <c r="Y27" s="256"/>
      <c r="Z27" s="373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29.4" thickBot="1" x14ac:dyDescent="0.35">
      <c r="A28" s="159" t="s">
        <v>51</v>
      </c>
      <c r="B28" s="183" t="s">
        <v>167</v>
      </c>
      <c r="C28" s="159" t="s">
        <v>560</v>
      </c>
      <c r="D28" s="365" t="s">
        <v>614</v>
      </c>
      <c r="E28" s="371">
        <v>32050</v>
      </c>
      <c r="F28" s="369">
        <f t="shared" si="2"/>
        <v>32050</v>
      </c>
      <c r="G28" s="217">
        <f t="shared" si="0"/>
        <v>0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>
        <v>32050</v>
      </c>
      <c r="X28" s="256"/>
      <c r="Y28" s="256"/>
      <c r="Z28" s="373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29.4" thickBot="1" x14ac:dyDescent="0.35">
      <c r="A29" s="159" t="s">
        <v>51</v>
      </c>
      <c r="B29" s="183" t="s">
        <v>167</v>
      </c>
      <c r="C29" s="159" t="s">
        <v>561</v>
      </c>
      <c r="D29" s="365" t="s">
        <v>615</v>
      </c>
      <c r="E29" s="371">
        <v>23931</v>
      </c>
      <c r="F29" s="369">
        <f t="shared" si="2"/>
        <v>23636.41</v>
      </c>
      <c r="G29" s="217">
        <f t="shared" si="0"/>
        <v>294.59000000000015</v>
      </c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>
        <v>23636.41</v>
      </c>
      <c r="X29" s="256"/>
      <c r="Y29" s="256"/>
      <c r="Z29" s="373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29.4" thickBot="1" x14ac:dyDescent="0.35">
      <c r="A30" s="159" t="s">
        <v>51</v>
      </c>
      <c r="B30" s="183" t="s">
        <v>167</v>
      </c>
      <c r="C30" s="159" t="s">
        <v>562</v>
      </c>
      <c r="D30" s="365" t="s">
        <v>616</v>
      </c>
      <c r="E30" s="371">
        <v>34985</v>
      </c>
      <c r="F30" s="369">
        <f t="shared" si="2"/>
        <v>34982.720000000001</v>
      </c>
      <c r="G30" s="217">
        <f t="shared" si="0"/>
        <v>2.2799999999988358</v>
      </c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>
        <f>21700.82+13281.9</f>
        <v>34982.720000000001</v>
      </c>
      <c r="X30" s="256"/>
      <c r="Y30" s="256"/>
      <c r="Z30" s="373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</row>
    <row r="31" spans="1:84" ht="29.4" thickBot="1" x14ac:dyDescent="0.35">
      <c r="A31" s="159" t="s">
        <v>51</v>
      </c>
      <c r="B31" s="183" t="s">
        <v>167</v>
      </c>
      <c r="C31" s="186" t="s">
        <v>669</v>
      </c>
      <c r="D31" s="365" t="s">
        <v>671</v>
      </c>
      <c r="E31" s="371">
        <v>10000</v>
      </c>
      <c r="F31" s="369">
        <f t="shared" ref="F31" si="3">SUM(H31:Z31)</f>
        <v>10000</v>
      </c>
      <c r="G31" s="217">
        <f t="shared" si="0"/>
        <v>0</v>
      </c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>
        <v>10000</v>
      </c>
      <c r="X31" s="256"/>
      <c r="Y31" s="256"/>
      <c r="Z31" s="373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</row>
    <row r="32" spans="1:84" ht="29.4" thickBot="1" x14ac:dyDescent="0.35">
      <c r="A32" s="159" t="s">
        <v>51</v>
      </c>
      <c r="B32" s="183" t="s">
        <v>167</v>
      </c>
      <c r="C32" s="186" t="s">
        <v>669</v>
      </c>
      <c r="D32" s="365" t="s">
        <v>670</v>
      </c>
      <c r="E32" s="371">
        <v>9104.99</v>
      </c>
      <c r="F32" s="369">
        <f t="shared" ref="F32" si="4">SUM(H32:Z32)</f>
        <v>9104.99</v>
      </c>
      <c r="G32" s="217">
        <f t="shared" si="0"/>
        <v>0</v>
      </c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>
        <v>9104.99</v>
      </c>
      <c r="X32" s="256"/>
      <c r="Y32" s="256"/>
      <c r="Z32" s="373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29.4" thickBot="1" x14ac:dyDescent="0.35">
      <c r="A33" s="159" t="s">
        <v>51</v>
      </c>
      <c r="B33" s="183" t="s">
        <v>167</v>
      </c>
      <c r="C33" s="159" t="s">
        <v>563</v>
      </c>
      <c r="D33" s="365" t="s">
        <v>672</v>
      </c>
      <c r="E33" s="371">
        <v>23648.26</v>
      </c>
      <c r="F33" s="369">
        <f t="shared" ref="F33:F65" si="5">SUM(H33:Z33)</f>
        <v>23648.26</v>
      </c>
      <c r="G33" s="217">
        <f t="shared" si="0"/>
        <v>0</v>
      </c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>
        <v>23648.26</v>
      </c>
      <c r="X33" s="256"/>
      <c r="Y33" s="256"/>
      <c r="Z33" s="373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29.4" thickBot="1" x14ac:dyDescent="0.35">
      <c r="A34" s="159" t="s">
        <v>51</v>
      </c>
      <c r="B34" s="183" t="s">
        <v>167</v>
      </c>
      <c r="C34" s="159" t="s">
        <v>564</v>
      </c>
      <c r="D34" s="365" t="s">
        <v>617</v>
      </c>
      <c r="E34" s="371">
        <v>34580</v>
      </c>
      <c r="F34" s="369">
        <f t="shared" si="5"/>
        <v>33978.15</v>
      </c>
      <c r="G34" s="217">
        <f t="shared" si="0"/>
        <v>601.84999999999854</v>
      </c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>
        <v>33978.15</v>
      </c>
      <c r="X34" s="256"/>
      <c r="Y34" s="256"/>
      <c r="Z34" s="373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29.4" thickBot="1" x14ac:dyDescent="0.35">
      <c r="A35" s="159" t="s">
        <v>51</v>
      </c>
      <c r="B35" s="183" t="s">
        <v>167</v>
      </c>
      <c r="C35" s="159" t="s">
        <v>565</v>
      </c>
      <c r="D35" s="365" t="s">
        <v>618</v>
      </c>
      <c r="E35" s="371">
        <v>9899.4</v>
      </c>
      <c r="F35" s="369">
        <f t="shared" si="5"/>
        <v>9899</v>
      </c>
      <c r="G35" s="217">
        <f t="shared" si="0"/>
        <v>0.3999999999996362</v>
      </c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>
        <v>9899</v>
      </c>
      <c r="X35" s="256"/>
      <c r="Y35" s="256"/>
      <c r="Z35" s="373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29.4" thickBot="1" x14ac:dyDescent="0.35">
      <c r="A36" s="159" t="s">
        <v>51</v>
      </c>
      <c r="B36" s="183" t="s">
        <v>167</v>
      </c>
      <c r="C36" s="159" t="s">
        <v>566</v>
      </c>
      <c r="D36" s="365" t="s">
        <v>619</v>
      </c>
      <c r="E36" s="371">
        <v>24984.2</v>
      </c>
      <c r="F36" s="369">
        <f t="shared" si="5"/>
        <v>24984</v>
      </c>
      <c r="G36" s="217">
        <f t="shared" si="0"/>
        <v>0.2000000000007276</v>
      </c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>
        <v>24984</v>
      </c>
      <c r="X36" s="256"/>
      <c r="Y36" s="256"/>
      <c r="Z36" s="373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29.4" thickBot="1" x14ac:dyDescent="0.35">
      <c r="A37" s="159" t="s">
        <v>51</v>
      </c>
      <c r="B37" s="183" t="s">
        <v>167</v>
      </c>
      <c r="C37" s="159" t="s">
        <v>567</v>
      </c>
      <c r="D37" s="365" t="s">
        <v>620</v>
      </c>
      <c r="E37" s="371">
        <v>9899.44</v>
      </c>
      <c r="F37" s="369">
        <f t="shared" si="5"/>
        <v>9899</v>
      </c>
      <c r="G37" s="217">
        <f t="shared" si="0"/>
        <v>0.44000000000050932</v>
      </c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>
        <v>9899</v>
      </c>
      <c r="X37" s="256"/>
      <c r="Y37" s="256"/>
      <c r="Z37" s="373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</row>
    <row r="38" spans="1:84" ht="29.4" thickBot="1" x14ac:dyDescent="0.35">
      <c r="A38" s="159" t="s">
        <v>51</v>
      </c>
      <c r="B38" s="183" t="s">
        <v>167</v>
      </c>
      <c r="C38" s="159" t="s">
        <v>568</v>
      </c>
      <c r="D38" s="365" t="s">
        <v>621</v>
      </c>
      <c r="E38" s="371">
        <v>9899.4</v>
      </c>
      <c r="F38" s="369">
        <f t="shared" si="5"/>
        <v>9899</v>
      </c>
      <c r="G38" s="217">
        <f t="shared" si="0"/>
        <v>0.3999999999996362</v>
      </c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>
        <v>9899</v>
      </c>
      <c r="X38" s="256"/>
      <c r="Y38" s="256"/>
      <c r="Z38" s="373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</row>
    <row r="39" spans="1:84" ht="29.4" thickBot="1" x14ac:dyDescent="0.35">
      <c r="A39" s="159" t="s">
        <v>51</v>
      </c>
      <c r="B39" s="183" t="s">
        <v>167</v>
      </c>
      <c r="C39" s="159" t="s">
        <v>569</v>
      </c>
      <c r="D39" s="365" t="s">
        <v>622</v>
      </c>
      <c r="E39" s="371">
        <v>9899</v>
      </c>
      <c r="F39" s="369">
        <f t="shared" si="5"/>
        <v>9899</v>
      </c>
      <c r="G39" s="217">
        <f t="shared" si="0"/>
        <v>0</v>
      </c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>
        <v>9899</v>
      </c>
      <c r="X39" s="256"/>
      <c r="Y39" s="256"/>
      <c r="Z39" s="373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29.4" thickBot="1" x14ac:dyDescent="0.35">
      <c r="A40" s="159" t="s">
        <v>51</v>
      </c>
      <c r="B40" s="183" t="s">
        <v>167</v>
      </c>
      <c r="C40" s="159" t="s">
        <v>570</v>
      </c>
      <c r="D40" s="365" t="s">
        <v>623</v>
      </c>
      <c r="E40" s="371">
        <v>34883.599999999999</v>
      </c>
      <c r="F40" s="369">
        <f t="shared" si="5"/>
        <v>34883.599999999999</v>
      </c>
      <c r="G40" s="217">
        <f t="shared" si="0"/>
        <v>0</v>
      </c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>
        <v>34883.599999999999</v>
      </c>
      <c r="X40" s="256"/>
      <c r="Y40" s="256"/>
      <c r="Z40" s="373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29.4" thickBot="1" x14ac:dyDescent="0.35">
      <c r="A41" s="159" t="s">
        <v>51</v>
      </c>
      <c r="B41" s="183" t="s">
        <v>167</v>
      </c>
      <c r="C41" s="159" t="s">
        <v>571</v>
      </c>
      <c r="D41" s="365" t="s">
        <v>99</v>
      </c>
      <c r="E41" s="371">
        <v>35000</v>
      </c>
      <c r="F41" s="369">
        <f t="shared" si="5"/>
        <v>34720</v>
      </c>
      <c r="G41" s="217">
        <f t="shared" ref="G41:G72" si="6">E41-F41</f>
        <v>280</v>
      </c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>
        <v>34720</v>
      </c>
      <c r="X41" s="256"/>
      <c r="Y41" s="256"/>
      <c r="Z41" s="373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15" thickBot="1" x14ac:dyDescent="0.35">
      <c r="A42" s="159" t="s">
        <v>88</v>
      </c>
      <c r="B42" s="183" t="s">
        <v>89</v>
      </c>
      <c r="C42" s="159" t="s">
        <v>572</v>
      </c>
      <c r="D42" s="365" t="s">
        <v>624</v>
      </c>
      <c r="E42" s="371">
        <v>35000</v>
      </c>
      <c r="F42" s="369">
        <f t="shared" si="5"/>
        <v>35000</v>
      </c>
      <c r="G42" s="217">
        <f t="shared" si="6"/>
        <v>0</v>
      </c>
      <c r="H42" s="256"/>
      <c r="I42" s="256"/>
      <c r="J42" s="256"/>
      <c r="K42" s="256"/>
      <c r="L42" s="256"/>
      <c r="M42" s="256"/>
      <c r="N42" s="256">
        <v>10732</v>
      </c>
      <c r="O42" s="256"/>
      <c r="P42" s="256"/>
      <c r="Q42" s="256">
        <v>24268</v>
      </c>
      <c r="R42" s="256"/>
      <c r="S42" s="256"/>
      <c r="T42" s="256"/>
      <c r="U42" s="256"/>
      <c r="V42" s="256"/>
      <c r="W42" s="256"/>
      <c r="X42" s="256"/>
      <c r="Y42" s="256"/>
      <c r="Z42" s="373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</row>
    <row r="43" spans="1:84" ht="15" thickBot="1" x14ac:dyDescent="0.35">
      <c r="A43" s="159" t="s">
        <v>217</v>
      </c>
      <c r="B43" s="183" t="s">
        <v>220</v>
      </c>
      <c r="C43" s="159" t="s">
        <v>573</v>
      </c>
      <c r="D43" s="365" t="s">
        <v>625</v>
      </c>
      <c r="E43" s="371">
        <v>17350</v>
      </c>
      <c r="F43" s="369">
        <f t="shared" si="5"/>
        <v>12288.08</v>
      </c>
      <c r="G43" s="217">
        <f t="shared" si="6"/>
        <v>5061.92</v>
      </c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>
        <v>12288.08</v>
      </c>
      <c r="W43" s="256"/>
      <c r="X43" s="256"/>
      <c r="Y43" s="256"/>
      <c r="Z43" s="373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</row>
    <row r="44" spans="1:84" ht="15" thickBot="1" x14ac:dyDescent="0.35">
      <c r="A44" s="159" t="s">
        <v>217</v>
      </c>
      <c r="B44" s="183" t="s">
        <v>220</v>
      </c>
      <c r="C44" s="159" t="s">
        <v>485</v>
      </c>
      <c r="D44" s="365" t="s">
        <v>486</v>
      </c>
      <c r="E44" s="371">
        <v>35000</v>
      </c>
      <c r="F44" s="369">
        <f t="shared" si="5"/>
        <v>31819.919999999998</v>
      </c>
      <c r="G44" s="217">
        <f t="shared" si="6"/>
        <v>3180.0800000000017</v>
      </c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>
        <v>31819.919999999998</v>
      </c>
      <c r="W44" s="256"/>
      <c r="X44" s="256"/>
      <c r="Y44" s="256"/>
      <c r="Z44" s="373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15" thickBot="1" x14ac:dyDescent="0.35">
      <c r="A45" s="159" t="s">
        <v>540</v>
      </c>
      <c r="B45" s="183" t="s">
        <v>541</v>
      </c>
      <c r="C45" s="159" t="s">
        <v>574</v>
      </c>
      <c r="D45" s="365" t="s">
        <v>626</v>
      </c>
      <c r="E45" s="371">
        <v>10000</v>
      </c>
      <c r="F45" s="369">
        <f t="shared" si="5"/>
        <v>10000</v>
      </c>
      <c r="G45" s="217">
        <f t="shared" si="6"/>
        <v>0</v>
      </c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>
        <v>10000</v>
      </c>
      <c r="T45" s="256"/>
      <c r="U45" s="256"/>
      <c r="V45" s="256"/>
      <c r="W45" s="256"/>
      <c r="X45" s="256"/>
      <c r="Y45" s="256"/>
      <c r="Z45" s="373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15" thickBot="1" x14ac:dyDescent="0.35">
      <c r="A46" s="159" t="s">
        <v>540</v>
      </c>
      <c r="B46" s="183" t="s">
        <v>541</v>
      </c>
      <c r="C46" s="159" t="s">
        <v>575</v>
      </c>
      <c r="D46" s="365" t="s">
        <v>627</v>
      </c>
      <c r="E46" s="371">
        <v>35000</v>
      </c>
      <c r="F46" s="369">
        <f t="shared" si="5"/>
        <v>35000</v>
      </c>
      <c r="G46" s="217">
        <f t="shared" si="6"/>
        <v>0</v>
      </c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>
        <v>35000</v>
      </c>
      <c r="T46" s="256"/>
      <c r="U46" s="256"/>
      <c r="V46" s="256"/>
      <c r="W46" s="256"/>
      <c r="X46" s="256"/>
      <c r="Y46" s="256"/>
      <c r="Z46" s="373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15" thickBot="1" x14ac:dyDescent="0.35">
      <c r="A47" s="159" t="s">
        <v>540</v>
      </c>
      <c r="B47" s="183" t="s">
        <v>541</v>
      </c>
      <c r="C47" s="159" t="s">
        <v>576</v>
      </c>
      <c r="D47" s="365" t="s">
        <v>628</v>
      </c>
      <c r="E47" s="371">
        <v>25000</v>
      </c>
      <c r="F47" s="369">
        <f t="shared" si="5"/>
        <v>25000</v>
      </c>
      <c r="G47" s="217">
        <f t="shared" si="6"/>
        <v>0</v>
      </c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>
        <v>25000</v>
      </c>
      <c r="T47" s="256"/>
      <c r="U47" s="256"/>
      <c r="V47" s="256"/>
      <c r="W47" s="256"/>
      <c r="X47" s="256"/>
      <c r="Y47" s="256"/>
      <c r="Z47" s="373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15" thickBot="1" x14ac:dyDescent="0.35">
      <c r="A48" s="159" t="s">
        <v>29</v>
      </c>
      <c r="B48" s="183" t="s">
        <v>80</v>
      </c>
      <c r="C48" s="159" t="s">
        <v>577</v>
      </c>
      <c r="D48" s="365" t="s">
        <v>629</v>
      </c>
      <c r="E48" s="371">
        <v>35000</v>
      </c>
      <c r="F48" s="369">
        <f t="shared" si="5"/>
        <v>35000</v>
      </c>
      <c r="G48" s="217">
        <f t="shared" si="6"/>
        <v>0</v>
      </c>
      <c r="H48" s="256"/>
      <c r="I48" s="256"/>
      <c r="J48" s="256"/>
      <c r="K48" s="256"/>
      <c r="L48" s="256"/>
      <c r="M48" s="256"/>
      <c r="N48" s="256"/>
      <c r="O48" s="256"/>
      <c r="P48" s="256">
        <v>8000.74</v>
      </c>
      <c r="Q48" s="256">
        <v>5948.52</v>
      </c>
      <c r="R48" s="256">
        <v>5948.53</v>
      </c>
      <c r="S48" s="256">
        <v>6068.42</v>
      </c>
      <c r="T48" s="256">
        <v>5280.49</v>
      </c>
      <c r="U48" s="256"/>
      <c r="V48" s="256">
        <v>3753.3</v>
      </c>
      <c r="W48" s="256"/>
      <c r="X48" s="256"/>
      <c r="Y48" s="256"/>
      <c r="Z48" s="373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</row>
    <row r="49" spans="1:84" ht="15" thickBot="1" x14ac:dyDescent="0.35">
      <c r="A49" s="159" t="s">
        <v>29</v>
      </c>
      <c r="B49" s="183" t="s">
        <v>80</v>
      </c>
      <c r="C49" s="159" t="s">
        <v>578</v>
      </c>
      <c r="D49" s="365" t="s">
        <v>630</v>
      </c>
      <c r="E49" s="371">
        <v>34919</v>
      </c>
      <c r="F49" s="369">
        <f t="shared" si="5"/>
        <v>34919</v>
      </c>
      <c r="G49" s="217">
        <f t="shared" si="6"/>
        <v>0</v>
      </c>
      <c r="H49" s="256"/>
      <c r="I49" s="256"/>
      <c r="J49" s="256"/>
      <c r="K49" s="256"/>
      <c r="L49" s="256"/>
      <c r="M49" s="256"/>
      <c r="N49" s="256"/>
      <c r="O49" s="256">
        <v>11174.84</v>
      </c>
      <c r="P49" s="256">
        <v>3600.15</v>
      </c>
      <c r="Q49" s="256">
        <v>7296.18</v>
      </c>
      <c r="R49" s="256">
        <v>6239.68</v>
      </c>
      <c r="S49" s="256">
        <v>1024.54</v>
      </c>
      <c r="T49" s="256">
        <v>5583.61</v>
      </c>
      <c r="U49" s="256"/>
      <c r="V49" s="256"/>
      <c r="W49" s="256"/>
      <c r="X49" s="256"/>
      <c r="Y49" s="256"/>
      <c r="Z49" s="373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</row>
    <row r="50" spans="1:84" ht="15" thickBot="1" x14ac:dyDescent="0.35">
      <c r="A50" s="159">
        <v>1420</v>
      </c>
      <c r="B50" s="183" t="s">
        <v>80</v>
      </c>
      <c r="C50" s="186" t="s">
        <v>705</v>
      </c>
      <c r="D50" s="365" t="s">
        <v>631</v>
      </c>
      <c r="E50" s="371">
        <v>6387.91</v>
      </c>
      <c r="F50" s="369">
        <f t="shared" si="5"/>
        <v>6387.91</v>
      </c>
      <c r="G50" s="217">
        <f t="shared" si="6"/>
        <v>0</v>
      </c>
      <c r="H50" s="256"/>
      <c r="I50" s="256"/>
      <c r="J50" s="256"/>
      <c r="K50" s="256"/>
      <c r="L50" s="256"/>
      <c r="M50" s="256"/>
      <c r="N50" s="256"/>
      <c r="O50" s="256"/>
      <c r="P50" s="256">
        <v>2497.94</v>
      </c>
      <c r="Q50" s="256">
        <v>1248.98</v>
      </c>
      <c r="R50" s="256">
        <v>1248.97</v>
      </c>
      <c r="S50" s="396">
        <v>1392.02</v>
      </c>
      <c r="T50" s="256"/>
      <c r="U50" s="256"/>
      <c r="V50" s="256"/>
      <c r="W50" s="256"/>
      <c r="X50" s="256"/>
      <c r="Y50" s="256"/>
      <c r="Z50" s="373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15" thickBot="1" x14ac:dyDescent="0.35">
      <c r="A51" s="159" t="s">
        <v>29</v>
      </c>
      <c r="B51" s="183" t="s">
        <v>80</v>
      </c>
      <c r="C51" s="159" t="s">
        <v>579</v>
      </c>
      <c r="D51" s="365" t="s">
        <v>632</v>
      </c>
      <c r="E51" s="371">
        <v>34403.53</v>
      </c>
      <c r="F51" s="369">
        <f t="shared" si="5"/>
        <v>34403.53</v>
      </c>
      <c r="G51" s="217">
        <f t="shared" si="6"/>
        <v>0</v>
      </c>
      <c r="H51" s="256"/>
      <c r="I51" s="256"/>
      <c r="J51" s="256"/>
      <c r="K51" s="256"/>
      <c r="L51" s="256"/>
      <c r="M51" s="256"/>
      <c r="N51" s="256"/>
      <c r="O51" s="256"/>
      <c r="P51" s="256">
        <v>4875.7700000000004</v>
      </c>
      <c r="Q51" s="256">
        <v>10154.07</v>
      </c>
      <c r="R51" s="256">
        <v>5278.29</v>
      </c>
      <c r="S51" s="256">
        <v>5278.3</v>
      </c>
      <c r="T51" s="256">
        <v>5273.4</v>
      </c>
      <c r="U51" s="256"/>
      <c r="V51" s="256">
        <v>3543.7</v>
      </c>
      <c r="W51" s="256"/>
      <c r="X51" s="256"/>
      <c r="Y51" s="256"/>
      <c r="Z51" s="373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15" thickBot="1" x14ac:dyDescent="0.35">
      <c r="A52" s="159" t="s">
        <v>29</v>
      </c>
      <c r="B52" s="183" t="s">
        <v>80</v>
      </c>
      <c r="C52" s="159" t="s">
        <v>580</v>
      </c>
      <c r="D52" s="365" t="s">
        <v>633</v>
      </c>
      <c r="E52" s="371">
        <v>12775.84</v>
      </c>
      <c r="F52" s="369">
        <f t="shared" si="5"/>
        <v>12775.84</v>
      </c>
      <c r="G52" s="217">
        <f t="shared" si="6"/>
        <v>0</v>
      </c>
      <c r="H52" s="256"/>
      <c r="I52" s="256"/>
      <c r="J52" s="256"/>
      <c r="K52" s="256"/>
      <c r="L52" s="256"/>
      <c r="M52" s="256"/>
      <c r="N52" s="256"/>
      <c r="O52" s="256"/>
      <c r="P52" s="256">
        <v>4848.92</v>
      </c>
      <c r="Q52" s="256">
        <v>2424.46</v>
      </c>
      <c r="R52" s="256">
        <v>2424.46</v>
      </c>
      <c r="S52" s="256">
        <v>2828.21</v>
      </c>
      <c r="T52" s="256">
        <v>249.79</v>
      </c>
      <c r="U52" s="256"/>
      <c r="V52" s="256"/>
      <c r="W52" s="256"/>
      <c r="X52" s="256"/>
      <c r="Y52" s="256"/>
      <c r="Z52" s="373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15" thickBot="1" x14ac:dyDescent="0.35">
      <c r="A53" s="378" t="s">
        <v>54</v>
      </c>
      <c r="B53" s="379" t="s">
        <v>80</v>
      </c>
      <c r="C53" s="380" t="s">
        <v>698</v>
      </c>
      <c r="D53" s="381" t="s">
        <v>634</v>
      </c>
      <c r="E53" s="371">
        <v>9834</v>
      </c>
      <c r="F53" s="369">
        <f t="shared" si="5"/>
        <v>9834</v>
      </c>
      <c r="G53" s="217">
        <f t="shared" si="6"/>
        <v>0</v>
      </c>
      <c r="H53" s="256"/>
      <c r="I53" s="256"/>
      <c r="J53" s="256"/>
      <c r="K53" s="256"/>
      <c r="L53" s="256"/>
      <c r="M53" s="256"/>
      <c r="N53" s="256"/>
      <c r="O53" s="256"/>
      <c r="P53" s="24"/>
      <c r="Q53" s="256"/>
      <c r="R53" s="256"/>
      <c r="S53" s="256"/>
      <c r="T53" s="256"/>
      <c r="U53" s="256"/>
      <c r="V53" s="256">
        <v>9834</v>
      </c>
      <c r="W53" s="256"/>
      <c r="X53" s="256"/>
      <c r="Y53" s="256"/>
      <c r="Z53" s="373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15" thickBot="1" x14ac:dyDescent="0.35">
      <c r="A54" s="159" t="s">
        <v>29</v>
      </c>
      <c r="B54" s="183" t="s">
        <v>80</v>
      </c>
      <c r="C54" s="159" t="s">
        <v>581</v>
      </c>
      <c r="D54" s="365" t="s">
        <v>635</v>
      </c>
      <c r="E54" s="371">
        <v>35000</v>
      </c>
      <c r="F54" s="369">
        <f t="shared" si="5"/>
        <v>35000</v>
      </c>
      <c r="G54" s="217">
        <f t="shared" si="6"/>
        <v>0</v>
      </c>
      <c r="H54" s="256"/>
      <c r="I54" s="256"/>
      <c r="J54" s="256"/>
      <c r="K54" s="256"/>
      <c r="L54" s="256"/>
      <c r="M54" s="256"/>
      <c r="N54" s="256"/>
      <c r="O54" s="256"/>
      <c r="P54" s="256">
        <v>6780.85</v>
      </c>
      <c r="Q54" s="256">
        <v>6780.85</v>
      </c>
      <c r="R54" s="256">
        <v>13561.7</v>
      </c>
      <c r="S54" s="256">
        <v>6780.85</v>
      </c>
      <c r="T54" s="256">
        <v>1095.75</v>
      </c>
      <c r="U54" s="256"/>
      <c r="V54" s="256"/>
      <c r="W54" s="256"/>
      <c r="X54" s="256"/>
      <c r="Y54" s="256"/>
      <c r="Z54" s="373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15" thickBot="1" x14ac:dyDescent="0.35">
      <c r="A55" s="159" t="s">
        <v>107</v>
      </c>
      <c r="B55" s="183" t="s">
        <v>116</v>
      </c>
      <c r="C55" s="159" t="s">
        <v>582</v>
      </c>
      <c r="D55" s="365" t="s">
        <v>636</v>
      </c>
      <c r="E55" s="371">
        <v>34789</v>
      </c>
      <c r="F55" s="369">
        <f t="shared" si="5"/>
        <v>34789</v>
      </c>
      <c r="G55" s="217">
        <f t="shared" si="6"/>
        <v>0</v>
      </c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>
        <v>34789</v>
      </c>
      <c r="U55" s="256"/>
      <c r="V55" s="256"/>
      <c r="W55" s="256"/>
      <c r="X55" s="256"/>
      <c r="Y55" s="256"/>
      <c r="Z55" s="373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15" thickBot="1" x14ac:dyDescent="0.35">
      <c r="A56" s="184" t="s">
        <v>53</v>
      </c>
      <c r="B56" s="183" t="s">
        <v>55</v>
      </c>
      <c r="C56" s="186" t="s">
        <v>583</v>
      </c>
      <c r="D56" s="365" t="s">
        <v>637</v>
      </c>
      <c r="E56" s="372">
        <v>19379</v>
      </c>
      <c r="F56" s="369">
        <f t="shared" si="5"/>
        <v>17299</v>
      </c>
      <c r="G56" s="217">
        <f t="shared" si="6"/>
        <v>2080</v>
      </c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>
        <v>17299</v>
      </c>
      <c r="U56" s="256"/>
      <c r="V56" s="256"/>
      <c r="W56" s="256"/>
      <c r="X56" s="256"/>
      <c r="Y56" s="256"/>
      <c r="Z56" s="373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15" thickBot="1" x14ac:dyDescent="0.35">
      <c r="A57" s="184" t="s">
        <v>106</v>
      </c>
      <c r="B57" s="183" t="s">
        <v>345</v>
      </c>
      <c r="C57" s="184" t="s">
        <v>584</v>
      </c>
      <c r="D57" s="365" t="s">
        <v>638</v>
      </c>
      <c r="E57" s="372">
        <v>34750</v>
      </c>
      <c r="F57" s="369">
        <f t="shared" si="5"/>
        <v>34520.53</v>
      </c>
      <c r="G57" s="217">
        <f t="shared" si="6"/>
        <v>229.47000000000116</v>
      </c>
      <c r="H57" s="256"/>
      <c r="I57" s="256"/>
      <c r="J57" s="256"/>
      <c r="K57" s="256"/>
      <c r="L57" s="256"/>
      <c r="M57" s="256"/>
      <c r="N57" s="256"/>
      <c r="O57" s="256">
        <v>9554.66</v>
      </c>
      <c r="P57" s="256"/>
      <c r="Q57" s="256">
        <v>16701.900000000001</v>
      </c>
      <c r="R57" s="256"/>
      <c r="S57" s="256"/>
      <c r="T57" s="256"/>
      <c r="U57" s="256">
        <v>8263.9699999999993</v>
      </c>
      <c r="V57" s="256"/>
      <c r="W57" s="256"/>
      <c r="X57" s="256"/>
      <c r="Y57" s="256"/>
      <c r="Z57" s="373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15" thickBot="1" x14ac:dyDescent="0.35">
      <c r="A58" s="184" t="s">
        <v>542</v>
      </c>
      <c r="B58" s="183" t="s">
        <v>543</v>
      </c>
      <c r="C58" s="184" t="s">
        <v>585</v>
      </c>
      <c r="D58" s="365" t="s">
        <v>639</v>
      </c>
      <c r="E58" s="372">
        <v>34933</v>
      </c>
      <c r="F58" s="369">
        <f t="shared" si="5"/>
        <v>30905.33</v>
      </c>
      <c r="G58" s="217">
        <f t="shared" si="6"/>
        <v>4027.6699999999983</v>
      </c>
      <c r="H58" s="256"/>
      <c r="I58" s="256"/>
      <c r="J58" s="256"/>
      <c r="K58" s="256"/>
      <c r="L58" s="256"/>
      <c r="M58" s="256"/>
      <c r="N58" s="256"/>
      <c r="O58" s="256"/>
      <c r="P58" s="256">
        <v>30905.33</v>
      </c>
      <c r="Q58" s="256"/>
      <c r="R58" s="256"/>
      <c r="S58" s="256"/>
      <c r="T58" s="256"/>
      <c r="U58" s="256"/>
      <c r="V58" s="256"/>
      <c r="W58" s="256"/>
      <c r="X58" s="256"/>
      <c r="Y58" s="256"/>
      <c r="Z58" s="373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15" thickBot="1" x14ac:dyDescent="0.35">
      <c r="A59" s="184" t="s">
        <v>28</v>
      </c>
      <c r="B59" s="183" t="s">
        <v>84</v>
      </c>
      <c r="C59" s="186" t="s">
        <v>586</v>
      </c>
      <c r="D59" s="366" t="s">
        <v>640</v>
      </c>
      <c r="E59" s="372">
        <v>29124</v>
      </c>
      <c r="F59" s="369">
        <f t="shared" si="5"/>
        <v>27670.05</v>
      </c>
      <c r="G59" s="217">
        <f t="shared" si="6"/>
        <v>1453.9500000000007</v>
      </c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>
        <v>27670.05</v>
      </c>
      <c r="U59" s="256"/>
      <c r="V59" s="256"/>
      <c r="W59" s="256"/>
      <c r="X59" s="256"/>
      <c r="Y59" s="256"/>
      <c r="Z59" s="373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15" thickBot="1" x14ac:dyDescent="0.35">
      <c r="A60" s="184" t="s">
        <v>54</v>
      </c>
      <c r="B60" s="183" t="s">
        <v>192</v>
      </c>
      <c r="C60" s="186" t="s">
        <v>587</v>
      </c>
      <c r="D60" s="365" t="s">
        <v>641</v>
      </c>
      <c r="E60" s="372">
        <v>25000</v>
      </c>
      <c r="F60" s="369">
        <f t="shared" si="5"/>
        <v>25000</v>
      </c>
      <c r="G60" s="217">
        <f t="shared" si="6"/>
        <v>0</v>
      </c>
      <c r="H60" s="256"/>
      <c r="I60" s="256"/>
      <c r="J60" s="256"/>
      <c r="K60" s="256"/>
      <c r="L60" s="256"/>
      <c r="M60" s="256"/>
      <c r="N60" s="256"/>
      <c r="O60" s="256"/>
      <c r="P60" s="256"/>
      <c r="Q60" s="256">
        <v>24767</v>
      </c>
      <c r="R60" s="256"/>
      <c r="S60" s="256">
        <v>233</v>
      </c>
      <c r="T60" s="256"/>
      <c r="U60" s="256"/>
      <c r="V60" s="256"/>
      <c r="W60" s="256"/>
      <c r="X60" s="256"/>
      <c r="Y60" s="256"/>
      <c r="Z60" s="373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15" thickBot="1" x14ac:dyDescent="0.35">
      <c r="A61" s="186" t="s">
        <v>54</v>
      </c>
      <c r="B61" s="183" t="s">
        <v>192</v>
      </c>
      <c r="C61" s="186" t="s">
        <v>588</v>
      </c>
      <c r="D61" s="366" t="s">
        <v>642</v>
      </c>
      <c r="E61" s="372">
        <v>34965</v>
      </c>
      <c r="F61" s="369">
        <f t="shared" si="5"/>
        <v>34848.449999999997</v>
      </c>
      <c r="G61" s="217">
        <f t="shared" si="6"/>
        <v>116.55000000000291</v>
      </c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>
        <v>34848.449999999997</v>
      </c>
      <c r="T61" s="256"/>
      <c r="U61" s="256"/>
      <c r="V61" s="256"/>
      <c r="W61" s="256"/>
      <c r="X61" s="256"/>
      <c r="Y61" s="256"/>
      <c r="Z61" s="373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15" thickBot="1" x14ac:dyDescent="0.35">
      <c r="A62" s="184" t="s">
        <v>54</v>
      </c>
      <c r="B62" s="183" t="s">
        <v>192</v>
      </c>
      <c r="C62" s="186" t="s">
        <v>589</v>
      </c>
      <c r="D62" s="365" t="s">
        <v>643</v>
      </c>
      <c r="E62" s="372">
        <v>25000</v>
      </c>
      <c r="F62" s="369">
        <f t="shared" si="5"/>
        <v>25000</v>
      </c>
      <c r="G62" s="217">
        <f t="shared" si="6"/>
        <v>0</v>
      </c>
      <c r="H62" s="256"/>
      <c r="I62" s="256"/>
      <c r="J62" s="256"/>
      <c r="K62" s="256"/>
      <c r="L62" s="256"/>
      <c r="M62" s="256"/>
      <c r="N62" s="256"/>
      <c r="O62" s="256"/>
      <c r="P62" s="256">
        <v>19889.099999999999</v>
      </c>
      <c r="Q62" s="256">
        <v>5110.8999999999996</v>
      </c>
      <c r="R62" s="256"/>
      <c r="S62" s="256"/>
      <c r="T62" s="256"/>
      <c r="U62" s="256"/>
      <c r="V62" s="256"/>
      <c r="W62" s="256"/>
      <c r="X62" s="256"/>
      <c r="Y62" s="256"/>
      <c r="Z62" s="373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15" thickBot="1" x14ac:dyDescent="0.35">
      <c r="A63" s="159" t="s">
        <v>54</v>
      </c>
      <c r="B63" s="188" t="s">
        <v>192</v>
      </c>
      <c r="C63" s="159" t="s">
        <v>590</v>
      </c>
      <c r="D63" s="366" t="s">
        <v>644</v>
      </c>
      <c r="E63" s="372">
        <v>25000</v>
      </c>
      <c r="F63" s="369">
        <f t="shared" si="5"/>
        <v>24360</v>
      </c>
      <c r="G63" s="217">
        <f t="shared" si="6"/>
        <v>640</v>
      </c>
      <c r="H63" s="256"/>
      <c r="I63" s="256"/>
      <c r="J63" s="256"/>
      <c r="K63" s="256"/>
      <c r="L63" s="256"/>
      <c r="M63" s="256"/>
      <c r="N63" s="256"/>
      <c r="O63" s="256"/>
      <c r="P63" s="256"/>
      <c r="Q63" s="256">
        <v>24360</v>
      </c>
      <c r="R63" s="256" t="s">
        <v>33</v>
      </c>
      <c r="S63" s="256"/>
      <c r="T63" s="256"/>
      <c r="U63" s="256"/>
      <c r="V63" s="256"/>
      <c r="W63" s="256"/>
      <c r="X63" s="256"/>
      <c r="Y63" s="256"/>
      <c r="Z63" s="373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15" thickBot="1" x14ac:dyDescent="0.35">
      <c r="A64" s="186" t="s">
        <v>54</v>
      </c>
      <c r="B64" s="183" t="s">
        <v>192</v>
      </c>
      <c r="C64" s="316" t="s">
        <v>591</v>
      </c>
      <c r="D64" s="367" t="s">
        <v>645</v>
      </c>
      <c r="E64" s="372">
        <v>35000</v>
      </c>
      <c r="F64" s="369">
        <f t="shared" si="5"/>
        <v>25000</v>
      </c>
      <c r="G64" s="217">
        <f t="shared" si="6"/>
        <v>10000</v>
      </c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>
        <v>12000</v>
      </c>
      <c r="S64" s="256"/>
      <c r="T64" s="256">
        <v>13000</v>
      </c>
      <c r="U64" s="256"/>
      <c r="V64" s="256"/>
      <c r="W64" s="256"/>
      <c r="X64" s="256"/>
      <c r="Y64" s="256"/>
      <c r="Z64" s="373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15" thickBot="1" x14ac:dyDescent="0.35">
      <c r="A65" s="186" t="s">
        <v>54</v>
      </c>
      <c r="B65" s="183" t="s">
        <v>192</v>
      </c>
      <c r="C65" s="319" t="s">
        <v>592</v>
      </c>
      <c r="D65" s="368" t="s">
        <v>646</v>
      </c>
      <c r="E65" s="372">
        <v>34300</v>
      </c>
      <c r="F65" s="369">
        <f t="shared" si="5"/>
        <v>32455.940000000002</v>
      </c>
      <c r="G65" s="217">
        <f t="shared" si="6"/>
        <v>1844.0599999999977</v>
      </c>
      <c r="H65" s="256"/>
      <c r="I65" s="256"/>
      <c r="J65" s="256"/>
      <c r="K65" s="256"/>
      <c r="L65" s="256"/>
      <c r="M65" s="256"/>
      <c r="N65" s="256"/>
      <c r="O65" s="256"/>
      <c r="P65" s="256">
        <v>14330.76</v>
      </c>
      <c r="Q65" s="256">
        <v>7963.94</v>
      </c>
      <c r="R65" s="256"/>
      <c r="S65" s="256"/>
      <c r="T65" s="256">
        <f>7500+2661.24</f>
        <v>10161.24</v>
      </c>
      <c r="U65" s="256"/>
      <c r="V65" s="256"/>
      <c r="W65" s="256"/>
      <c r="X65" s="256"/>
      <c r="Y65" s="256"/>
      <c r="Z65" s="373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15" thickBot="1" x14ac:dyDescent="0.35">
      <c r="A66" s="159" t="s">
        <v>54</v>
      </c>
      <c r="B66" s="183" t="s">
        <v>192</v>
      </c>
      <c r="C66" s="159" t="s">
        <v>593</v>
      </c>
      <c r="D66" s="365" t="s">
        <v>647</v>
      </c>
      <c r="E66" s="371">
        <v>20000</v>
      </c>
      <c r="F66" s="369">
        <f t="shared" ref="F66:F72" si="7">SUM(H66:Z66)</f>
        <v>19213.190000000002</v>
      </c>
      <c r="G66" s="217">
        <f t="shared" si="6"/>
        <v>786.80999999999767</v>
      </c>
      <c r="H66" s="212"/>
      <c r="I66" s="212"/>
      <c r="J66" s="212"/>
      <c r="K66" s="212"/>
      <c r="L66" s="212"/>
      <c r="M66" s="212"/>
      <c r="N66" s="212"/>
      <c r="O66" s="374">
        <v>8445.0300000000007</v>
      </c>
      <c r="P66" s="374">
        <v>457.88</v>
      </c>
      <c r="Q66" s="374"/>
      <c r="R66" s="374"/>
      <c r="S66" s="375"/>
      <c r="T66" s="374">
        <v>10310.280000000001</v>
      </c>
      <c r="U66" s="212"/>
      <c r="V66" s="374"/>
      <c r="W66" s="212"/>
      <c r="X66" s="212"/>
      <c r="Y66" s="212"/>
      <c r="Z66" s="212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15" thickBot="1" x14ac:dyDescent="0.35">
      <c r="A67" s="382" t="s">
        <v>54</v>
      </c>
      <c r="B67" s="379" t="s">
        <v>192</v>
      </c>
      <c r="C67" s="380" t="s">
        <v>594</v>
      </c>
      <c r="D67" s="381" t="s">
        <v>648</v>
      </c>
      <c r="E67" s="372">
        <v>32472</v>
      </c>
      <c r="F67" s="369">
        <f t="shared" si="7"/>
        <v>32471.999999999996</v>
      </c>
      <c r="G67" s="217">
        <f t="shared" si="6"/>
        <v>0</v>
      </c>
      <c r="H67" s="212"/>
      <c r="I67" s="212"/>
      <c r="J67" s="212"/>
      <c r="K67" s="212"/>
      <c r="L67" s="212"/>
      <c r="M67" s="212"/>
      <c r="N67" s="212"/>
      <c r="O67" s="374"/>
      <c r="P67" s="374">
        <v>5375.3</v>
      </c>
      <c r="Q67" s="374">
        <v>5340.44</v>
      </c>
      <c r="R67" s="374"/>
      <c r="S67" s="374">
        <v>10618.44</v>
      </c>
      <c r="T67" s="374">
        <v>40</v>
      </c>
      <c r="U67" s="212"/>
      <c r="V67" s="374">
        <v>10463.81</v>
      </c>
      <c r="W67" s="212">
        <v>634.01</v>
      </c>
      <c r="X67" s="212"/>
      <c r="Y67" s="212"/>
      <c r="Z67" s="212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15" thickBot="1" x14ac:dyDescent="0.35">
      <c r="A68" s="184" t="s">
        <v>54</v>
      </c>
      <c r="B68" s="183" t="s">
        <v>192</v>
      </c>
      <c r="C68" s="184" t="s">
        <v>595</v>
      </c>
      <c r="D68" s="365" t="s">
        <v>649</v>
      </c>
      <c r="E68" s="372">
        <v>15000</v>
      </c>
      <c r="F68" s="369">
        <f t="shared" si="7"/>
        <v>14999.999999999998</v>
      </c>
      <c r="G68" s="217">
        <f t="shared" si="6"/>
        <v>0</v>
      </c>
      <c r="H68" s="212"/>
      <c r="I68" s="212"/>
      <c r="J68" s="212"/>
      <c r="K68" s="212"/>
      <c r="L68" s="212"/>
      <c r="M68" s="212"/>
      <c r="N68" s="212"/>
      <c r="O68" s="374">
        <v>7500</v>
      </c>
      <c r="P68" s="374"/>
      <c r="Q68" s="374"/>
      <c r="R68" s="374">
        <v>6037.44</v>
      </c>
      <c r="S68" s="374"/>
      <c r="T68" s="374">
        <v>1462.56</v>
      </c>
      <c r="U68" s="212"/>
      <c r="V68" s="374"/>
      <c r="W68" s="212"/>
      <c r="X68" s="212"/>
      <c r="Y68" s="212"/>
      <c r="Z68" s="212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15" thickBot="1" x14ac:dyDescent="0.35">
      <c r="A69" s="184" t="s">
        <v>54</v>
      </c>
      <c r="B69" s="183" t="s">
        <v>192</v>
      </c>
      <c r="C69" s="184" t="s">
        <v>596</v>
      </c>
      <c r="D69" s="365" t="s">
        <v>650</v>
      </c>
      <c r="E69" s="372">
        <v>26092</v>
      </c>
      <c r="F69" s="369">
        <f t="shared" si="7"/>
        <v>26092</v>
      </c>
      <c r="G69" s="217">
        <f t="shared" si="6"/>
        <v>0</v>
      </c>
      <c r="H69" s="212"/>
      <c r="I69" s="212"/>
      <c r="J69" s="212"/>
      <c r="K69" s="212"/>
      <c r="L69" s="212"/>
      <c r="M69" s="212"/>
      <c r="N69" s="212"/>
      <c r="O69" s="374">
        <v>18677.22</v>
      </c>
      <c r="P69" s="374"/>
      <c r="Q69" s="374"/>
      <c r="R69" s="374">
        <v>4942.93</v>
      </c>
      <c r="S69" s="374"/>
      <c r="T69" s="374">
        <v>2471.85</v>
      </c>
      <c r="U69" s="212"/>
      <c r="V69" s="374"/>
      <c r="W69" s="212"/>
      <c r="X69" s="212"/>
      <c r="Y69" s="212"/>
      <c r="Z69" s="212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15" thickBot="1" x14ac:dyDescent="0.35">
      <c r="A70" s="184" t="s">
        <v>54</v>
      </c>
      <c r="B70" s="183" t="s">
        <v>192</v>
      </c>
      <c r="C70" s="186" t="s">
        <v>334</v>
      </c>
      <c r="D70" s="366" t="s">
        <v>651</v>
      </c>
      <c r="E70" s="372">
        <v>60000</v>
      </c>
      <c r="F70" s="369">
        <f t="shared" si="7"/>
        <v>60000</v>
      </c>
      <c r="G70" s="217">
        <f t="shared" si="6"/>
        <v>0</v>
      </c>
      <c r="H70" s="212"/>
      <c r="I70" s="212"/>
      <c r="J70" s="212"/>
      <c r="K70" s="212"/>
      <c r="L70" s="212"/>
      <c r="M70" s="212"/>
      <c r="N70" s="212"/>
      <c r="O70" s="374">
        <v>60000</v>
      </c>
      <c r="P70" s="374"/>
      <c r="Q70" s="374"/>
      <c r="R70" s="374"/>
      <c r="S70" s="374"/>
      <c r="T70" s="374"/>
      <c r="U70" s="212"/>
      <c r="V70" s="374"/>
      <c r="W70" s="212"/>
      <c r="X70" s="212"/>
      <c r="Y70" s="212"/>
      <c r="Z70" s="212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15" thickBot="1" x14ac:dyDescent="0.35">
      <c r="A71" s="184" t="s">
        <v>54</v>
      </c>
      <c r="B71" s="183" t="s">
        <v>192</v>
      </c>
      <c r="C71" s="186" t="s">
        <v>597</v>
      </c>
      <c r="D71" s="365" t="s">
        <v>652</v>
      </c>
      <c r="E71" s="372">
        <v>10000</v>
      </c>
      <c r="F71" s="369">
        <f t="shared" si="7"/>
        <v>9999.99</v>
      </c>
      <c r="G71" s="217">
        <f t="shared" si="6"/>
        <v>1.0000000000218279E-2</v>
      </c>
      <c r="H71" s="212"/>
      <c r="I71" s="212"/>
      <c r="J71" s="212"/>
      <c r="K71" s="212"/>
      <c r="L71" s="212"/>
      <c r="M71" s="212"/>
      <c r="N71" s="212"/>
      <c r="O71" s="374"/>
      <c r="P71" s="374"/>
      <c r="Q71" s="374">
        <v>6988.65</v>
      </c>
      <c r="R71" s="374">
        <v>3011.34</v>
      </c>
      <c r="S71" s="374"/>
      <c r="T71" s="374"/>
      <c r="U71" s="212"/>
      <c r="V71" s="374"/>
      <c r="W71" s="212"/>
      <c r="X71" s="212"/>
      <c r="Y71" s="212"/>
      <c r="Z71" s="212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15" thickBot="1" x14ac:dyDescent="0.35">
      <c r="A72" s="186" t="s">
        <v>54</v>
      </c>
      <c r="B72" s="183" t="s">
        <v>192</v>
      </c>
      <c r="C72" s="186" t="s">
        <v>598</v>
      </c>
      <c r="D72" s="366" t="s">
        <v>653</v>
      </c>
      <c r="E72" s="372">
        <v>35000</v>
      </c>
      <c r="F72" s="369">
        <f t="shared" si="7"/>
        <v>35000</v>
      </c>
      <c r="G72" s="217">
        <f t="shared" si="6"/>
        <v>0</v>
      </c>
      <c r="H72" s="212"/>
      <c r="I72" s="212"/>
      <c r="J72" s="212"/>
      <c r="K72" s="212"/>
      <c r="L72" s="212"/>
      <c r="M72" s="348"/>
      <c r="N72" s="212"/>
      <c r="O72" s="374"/>
      <c r="P72" s="374">
        <v>23123.85</v>
      </c>
      <c r="Q72" s="374">
        <v>6172.13</v>
      </c>
      <c r="R72" s="374">
        <v>3431.58</v>
      </c>
      <c r="S72" s="374">
        <v>2272.44</v>
      </c>
      <c r="T72" s="374"/>
      <c r="U72" s="212"/>
      <c r="V72" s="374"/>
      <c r="W72" s="212"/>
      <c r="X72" s="212"/>
      <c r="Y72" s="212"/>
      <c r="Z72" s="212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15" thickBot="1" x14ac:dyDescent="0.35">
      <c r="A73" s="184"/>
      <c r="B73" s="183"/>
      <c r="C73" s="186"/>
      <c r="D73" s="185"/>
      <c r="E73" s="370"/>
      <c r="F73" s="216"/>
      <c r="G73" s="217"/>
      <c r="H73" s="212"/>
      <c r="I73" s="212"/>
      <c r="J73" s="212"/>
      <c r="K73" s="212"/>
      <c r="L73" s="212"/>
      <c r="M73" s="212"/>
      <c r="N73" s="212"/>
      <c r="O73" s="212"/>
      <c r="P73" s="375"/>
      <c r="Q73" s="212"/>
      <c r="R73" s="212"/>
      <c r="S73" s="212"/>
      <c r="T73" s="212"/>
      <c r="U73" s="212"/>
      <c r="V73" s="374"/>
      <c r="W73" s="212"/>
      <c r="X73" s="212"/>
      <c r="Y73" s="212"/>
      <c r="Z73" s="212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15" thickBot="1" x14ac:dyDescent="0.35">
      <c r="A74" s="184"/>
      <c r="B74" s="183"/>
      <c r="C74" s="186"/>
      <c r="D74" s="185"/>
      <c r="E74" s="216"/>
      <c r="F74" s="216"/>
      <c r="G74" s="217"/>
      <c r="H74" s="212"/>
      <c r="I74" s="212"/>
      <c r="J74" s="212"/>
      <c r="K74" s="212"/>
      <c r="L74" s="212"/>
      <c r="M74" s="212"/>
      <c r="N74" s="212"/>
      <c r="O74" s="212"/>
      <c r="P74" s="6"/>
      <c r="Q74" s="212"/>
      <c r="R74" s="212"/>
      <c r="S74" s="212"/>
      <c r="T74" s="212"/>
      <c r="U74" s="212"/>
      <c r="V74" s="374"/>
      <c r="W74" s="212"/>
      <c r="X74" s="212"/>
      <c r="Y74" s="212"/>
      <c r="Z74" s="212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</row>
    <row r="75" spans="1:84" ht="15" thickBot="1" x14ac:dyDescent="0.35">
      <c r="A75" s="159"/>
      <c r="B75" s="188"/>
      <c r="C75" s="159"/>
      <c r="D75" s="187"/>
      <c r="E75" s="216"/>
      <c r="F75" s="216"/>
      <c r="G75" s="217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374"/>
      <c r="W75" s="212"/>
      <c r="X75" s="212"/>
      <c r="Y75" s="212"/>
      <c r="Z75" s="212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</row>
    <row r="76" spans="1:84" ht="15" thickBot="1" x14ac:dyDescent="0.35">
      <c r="A76" s="186"/>
      <c r="B76" s="183"/>
      <c r="C76" s="316"/>
      <c r="D76" s="317"/>
      <c r="E76" s="318"/>
      <c r="F76" s="216"/>
      <c r="G76" s="217"/>
      <c r="H76" s="212"/>
      <c r="I76" s="212"/>
      <c r="J76" s="212"/>
      <c r="K76" s="212"/>
      <c r="L76" s="212"/>
      <c r="M76" s="212"/>
      <c r="N76" s="212"/>
      <c r="O76" s="212"/>
      <c r="P76" s="348"/>
      <c r="Q76" s="212"/>
      <c r="R76" s="212"/>
      <c r="S76" s="212"/>
      <c r="T76" s="212"/>
      <c r="U76" s="212"/>
      <c r="V76" s="374"/>
      <c r="W76" s="212"/>
      <c r="X76" s="212"/>
      <c r="Y76" s="212"/>
      <c r="Z76" s="212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15" thickBot="1" x14ac:dyDescent="0.35">
      <c r="A77" s="186"/>
      <c r="B77" s="183"/>
      <c r="C77" s="319"/>
      <c r="D77" s="320"/>
      <c r="E77" s="218"/>
      <c r="F77" s="216"/>
      <c r="G77" s="217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374"/>
      <c r="W77" s="212"/>
      <c r="X77" s="212"/>
      <c r="Y77" s="212"/>
      <c r="Z77" s="212"/>
    </row>
    <row r="78" spans="1:84" ht="15" thickBot="1" x14ac:dyDescent="0.35">
      <c r="A78" s="192"/>
      <c r="B78" s="192"/>
      <c r="C78" s="192"/>
      <c r="D78" s="192"/>
      <c r="E78" s="192"/>
      <c r="F78" s="192"/>
      <c r="G78" s="192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212"/>
      <c r="S78" s="199"/>
      <c r="T78" s="199"/>
      <c r="U78" s="199"/>
      <c r="V78" s="434"/>
      <c r="W78" s="199"/>
      <c r="X78" s="199"/>
      <c r="Y78" s="199"/>
      <c r="Z78" s="199"/>
    </row>
    <row r="79" spans="1:84" ht="15" thickBot="1" x14ac:dyDescent="0.35">
      <c r="A79" s="139"/>
      <c r="B79" s="110"/>
      <c r="C79" s="110"/>
      <c r="D79" s="110"/>
      <c r="E79" s="211">
        <f>SUM(E9:E77)</f>
        <v>1608832.13</v>
      </c>
      <c r="F79" s="211">
        <f>SUM(F9:F77)</f>
        <v>1540240.74</v>
      </c>
      <c r="G79" s="219">
        <f>SUM(G9:G77)</f>
        <v>68591.39</v>
      </c>
      <c r="H79" s="213">
        <f t="shared" ref="H79:Z79" si="8">SUM(H9:H78)</f>
        <v>0</v>
      </c>
      <c r="I79" s="213">
        <f t="shared" si="8"/>
        <v>0</v>
      </c>
      <c r="J79" s="213">
        <f t="shared" si="8"/>
        <v>0</v>
      </c>
      <c r="K79" s="213">
        <f t="shared" si="8"/>
        <v>0</v>
      </c>
      <c r="L79" s="213">
        <f t="shared" si="8"/>
        <v>0</v>
      </c>
      <c r="M79" s="213">
        <f t="shared" si="8"/>
        <v>0</v>
      </c>
      <c r="N79" s="213">
        <f t="shared" si="8"/>
        <v>10732</v>
      </c>
      <c r="O79" s="213">
        <f t="shared" si="8"/>
        <v>139429.95000000001</v>
      </c>
      <c r="P79" s="213">
        <f t="shared" si="8"/>
        <v>127782.73999999999</v>
      </c>
      <c r="Q79" s="213">
        <f t="shared" si="8"/>
        <v>177725.44000000003</v>
      </c>
      <c r="R79" s="213">
        <f t="shared" si="8"/>
        <v>67524.920000000013</v>
      </c>
      <c r="S79" s="213">
        <f t="shared" si="8"/>
        <v>157844.26</v>
      </c>
      <c r="T79" s="213">
        <f t="shared" si="8"/>
        <v>242868.43</v>
      </c>
      <c r="U79" s="213">
        <f t="shared" si="8"/>
        <v>8263.9699999999993</v>
      </c>
      <c r="V79" s="435">
        <f t="shared" si="8"/>
        <v>77928.88</v>
      </c>
      <c r="W79" s="213">
        <f t="shared" si="8"/>
        <v>530140.15</v>
      </c>
      <c r="X79" s="213">
        <f t="shared" si="8"/>
        <v>0</v>
      </c>
      <c r="Y79" s="213">
        <f t="shared" si="8"/>
        <v>0</v>
      </c>
      <c r="Z79" s="213">
        <f t="shared" si="8"/>
        <v>0</v>
      </c>
    </row>
    <row r="80" spans="1:84" x14ac:dyDescent="0.3">
      <c r="E80" s="6"/>
      <c r="F80" s="6" t="s">
        <v>680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436"/>
      <c r="W80" s="6"/>
      <c r="X80" s="6"/>
      <c r="Y80" s="6"/>
      <c r="Z80" s="6"/>
    </row>
    <row r="81" spans="5:26" x14ac:dyDescent="0.3">
      <c r="E81" s="6"/>
      <c r="F81" s="6" t="s">
        <v>33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 t="s">
        <v>33</v>
      </c>
      <c r="S81" s="6"/>
      <c r="T81" s="6"/>
      <c r="U81" s="6"/>
      <c r="V81" s="436"/>
      <c r="W81" s="6"/>
      <c r="X81" s="6"/>
      <c r="Y81" s="6"/>
      <c r="Z81" s="6"/>
    </row>
    <row r="82" spans="5:26" x14ac:dyDescent="0.3">
      <c r="E82" s="6">
        <v>1614203.3537597656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 t="s">
        <v>33</v>
      </c>
      <c r="S82" s="6"/>
      <c r="T82" s="6"/>
      <c r="U82" s="6"/>
      <c r="V82" s="436"/>
      <c r="W82" s="6"/>
      <c r="X82" s="6"/>
      <c r="Y82" s="6"/>
      <c r="Z82" s="6"/>
    </row>
    <row r="83" spans="5:26" x14ac:dyDescent="0.3">
      <c r="E83" s="6"/>
      <c r="F83" s="6" t="s">
        <v>33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436"/>
      <c r="W83" s="6"/>
      <c r="X83" s="6"/>
      <c r="Y83" s="6"/>
      <c r="Z83" s="6"/>
    </row>
    <row r="84" spans="5:26" x14ac:dyDescent="0.3">
      <c r="E84" s="6">
        <f>E82-E79</f>
        <v>5371.2237597657368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436"/>
      <c r="W84" s="6"/>
      <c r="X84" s="6"/>
      <c r="Y84" s="6"/>
      <c r="Z84" s="6"/>
    </row>
    <row r="85" spans="5:26" x14ac:dyDescent="0.3"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436"/>
      <c r="W85" s="6"/>
      <c r="X85" s="6"/>
      <c r="Y85" s="6"/>
      <c r="Z85" s="6"/>
    </row>
    <row r="86" spans="5:26" x14ac:dyDescent="0.3"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436"/>
      <c r="W86" s="6"/>
      <c r="X86" s="6"/>
      <c r="Y86" s="6"/>
      <c r="Z86" s="6"/>
    </row>
    <row r="87" spans="5:26" x14ac:dyDescent="0.3"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436"/>
      <c r="W87" s="6"/>
      <c r="X87" s="6"/>
      <c r="Y87" s="6"/>
      <c r="Z87" s="6"/>
    </row>
    <row r="88" spans="5:26" x14ac:dyDescent="0.3"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436"/>
      <c r="W88" s="6"/>
      <c r="X88" s="6"/>
      <c r="Y88" s="6"/>
      <c r="Z88" s="6"/>
    </row>
    <row r="89" spans="5:26" x14ac:dyDescent="0.3"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436"/>
      <c r="W89" s="6"/>
      <c r="X89" s="6"/>
      <c r="Y89" s="6"/>
      <c r="Z89" s="6"/>
    </row>
    <row r="90" spans="5:26" x14ac:dyDescent="0.3"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436"/>
      <c r="W90" s="6"/>
      <c r="X90" s="6"/>
      <c r="Y90" s="6"/>
      <c r="Z90" s="6"/>
    </row>
    <row r="91" spans="5:26" x14ac:dyDescent="0.3"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436"/>
      <c r="W91" s="6"/>
      <c r="X91" s="6"/>
      <c r="Y91" s="6"/>
      <c r="Z91" s="6"/>
    </row>
    <row r="92" spans="5:26" x14ac:dyDescent="0.3"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436"/>
      <c r="W92" s="6"/>
      <c r="X92" s="6"/>
      <c r="Y92" s="6"/>
      <c r="Z92" s="6"/>
    </row>
    <row r="93" spans="5:26" x14ac:dyDescent="0.3"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436"/>
      <c r="W93" s="6"/>
      <c r="X93" s="6"/>
      <c r="Y93" s="6"/>
      <c r="Z93" s="6"/>
    </row>
    <row r="94" spans="5:26" x14ac:dyDescent="0.3"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436"/>
      <c r="W94" s="6"/>
      <c r="X94" s="6"/>
      <c r="Y94" s="6"/>
      <c r="Z94" s="6"/>
    </row>
    <row r="95" spans="5:26" x14ac:dyDescent="0.3"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436"/>
      <c r="W95" s="6"/>
      <c r="X95" s="6"/>
      <c r="Y95" s="6"/>
      <c r="Z95" s="6"/>
    </row>
    <row r="96" spans="5:26" x14ac:dyDescent="0.3"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37"/>
      <c r="W96" s="46"/>
      <c r="X96" s="46"/>
      <c r="Y96" s="46"/>
      <c r="Z96" s="46"/>
    </row>
    <row r="97" spans="8:26" x14ac:dyDescent="0.3"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37"/>
      <c r="W97" s="46"/>
      <c r="X97" s="46"/>
      <c r="Y97" s="46"/>
      <c r="Z97" s="46"/>
    </row>
  </sheetData>
  <sheetProtection algorithmName="SHA-512" hashValue="lugNQrJfOk59Tzhx6LqWTDinB/gOao55RCmjyD9B4Xc5WKCj+GJz0wp//bURk8EvfKhfrWnTB7wXX1GDqo3HyQ==" saltValue="IkYoKX2HpEVQk/7GfkxdZg==" spinCount="100000" sheet="1" objects="1" scenarios="1"/>
  <autoFilter ref="A8:CF72" xr:uid="{71F20B42-95A0-45B0-9F0E-F23F6B8D9F82}"/>
  <hyperlinks>
    <hyperlink ref="C5" r:id="rId1" xr:uid="{E1693C4C-5BEE-4D16-A510-AEDB5C0C1544}"/>
  </hyperlinks>
  <pageMargins left="0.7" right="0.7" top="0.75" bottom="0.75" header="0.3" footer="0.3"/>
  <pageSetup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7E777-5F42-4109-8953-4EE3A2CAE843}">
  <sheetPr codeName="Sheet11"/>
  <dimension ref="A1:AI43"/>
  <sheetViews>
    <sheetView topLeftCell="C1" workbookViewId="0">
      <selection activeCell="X16" sqref="X16"/>
    </sheetView>
  </sheetViews>
  <sheetFormatPr defaultColWidth="9.44140625" defaultRowHeight="14.4" x14ac:dyDescent="0.3"/>
  <cols>
    <col min="1" max="1" width="9.44140625" style="45"/>
    <col min="2" max="2" width="34.44140625" style="45" customWidth="1"/>
    <col min="3" max="3" width="9.5546875" style="45" customWidth="1"/>
    <col min="4" max="4" width="50" style="45" bestFit="1" customWidth="1"/>
    <col min="5" max="8" width="14.5546875" style="45" customWidth="1"/>
    <col min="9" max="15" width="12.5546875" style="45" hidden="1" customWidth="1"/>
    <col min="16" max="32" width="12.5546875" style="45" customWidth="1"/>
    <col min="33" max="34" width="21.44140625" style="44" customWidth="1"/>
    <col min="35" max="16384" width="9.44140625" style="45"/>
  </cols>
  <sheetData>
    <row r="1" spans="1:35" ht="21" x14ac:dyDescent="0.4">
      <c r="A1" s="47" t="s">
        <v>0</v>
      </c>
      <c r="B1" s="53"/>
      <c r="C1" s="48" t="s">
        <v>477</v>
      </c>
      <c r="D1" s="48"/>
      <c r="E1" s="54"/>
      <c r="F1" s="54"/>
      <c r="G1" s="54"/>
      <c r="H1" s="53"/>
      <c r="I1" s="53"/>
      <c r="J1" s="53"/>
      <c r="K1" s="48"/>
      <c r="L1" s="53"/>
      <c r="M1" s="48" t="str">
        <f>$C$1</f>
        <v>Title V-B Charter School Grant Program 2020</v>
      </c>
      <c r="N1" s="53"/>
      <c r="O1" s="53"/>
      <c r="P1" s="53"/>
      <c r="Q1" s="53"/>
      <c r="R1" s="48"/>
      <c r="S1" s="48" t="str">
        <f>$C$1</f>
        <v>Title V-B Charter School Grant Program 2020</v>
      </c>
      <c r="T1" s="53"/>
      <c r="U1" s="53"/>
      <c r="V1" s="53"/>
      <c r="W1" s="53"/>
      <c r="X1" s="53"/>
      <c r="Y1" s="53"/>
      <c r="Z1" s="48" t="str">
        <f>$C$1</f>
        <v>Title V-B Charter School Grant Program 2020</v>
      </c>
      <c r="AA1" s="53"/>
      <c r="AB1" s="53"/>
      <c r="AC1" s="53"/>
      <c r="AD1" s="53"/>
      <c r="AE1" s="53"/>
      <c r="AF1" s="53"/>
      <c r="AG1" s="47"/>
      <c r="AH1" s="47"/>
    </row>
    <row r="2" spans="1:35" ht="21" x14ac:dyDescent="0.4">
      <c r="A2" s="47" t="s">
        <v>147</v>
      </c>
      <c r="B2" s="49"/>
      <c r="C2" s="48" t="s">
        <v>478</v>
      </c>
      <c r="D2" s="48"/>
      <c r="E2" s="54"/>
      <c r="F2" s="54"/>
      <c r="G2" s="54"/>
      <c r="H2" s="53"/>
      <c r="I2" s="53"/>
      <c r="J2" s="53"/>
      <c r="K2" s="50"/>
      <c r="L2" s="53"/>
      <c r="M2" s="50" t="str">
        <f>"FY"&amp;$C$4</f>
        <v>FY2020-21</v>
      </c>
      <c r="N2" s="53"/>
      <c r="O2" s="53"/>
      <c r="P2" s="53"/>
      <c r="Q2" s="53"/>
      <c r="R2" s="56"/>
      <c r="S2" s="50" t="str">
        <f>"FY"&amp;$C$4</f>
        <v>FY2020-21</v>
      </c>
      <c r="T2" s="53"/>
      <c r="U2" s="53"/>
      <c r="V2" s="53"/>
      <c r="W2" s="53"/>
      <c r="X2" s="53"/>
      <c r="Y2" s="53"/>
      <c r="Z2" s="50" t="str">
        <f>"FY"&amp;$C$4</f>
        <v>FY2020-21</v>
      </c>
      <c r="AA2" s="53"/>
      <c r="AB2" s="53"/>
      <c r="AC2" s="53"/>
      <c r="AD2" s="53"/>
      <c r="AE2" s="53"/>
      <c r="AF2" s="53"/>
      <c r="AG2" s="47"/>
      <c r="AH2" s="47"/>
    </row>
    <row r="3" spans="1:35" ht="15.6" x14ac:dyDescent="0.3">
      <c r="A3" s="50" t="s">
        <v>1</v>
      </c>
      <c r="B3" s="53"/>
      <c r="C3" s="51">
        <v>5282</v>
      </c>
      <c r="D3" s="51"/>
      <c r="E3" s="54"/>
      <c r="F3" s="54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4"/>
    </row>
    <row r="4" spans="1:35" ht="15.6" x14ac:dyDescent="0.3">
      <c r="A4" s="50" t="s">
        <v>2</v>
      </c>
      <c r="B4" s="53"/>
      <c r="C4" s="51" t="s">
        <v>495</v>
      </c>
      <c r="D4" s="51"/>
      <c r="E4" s="50"/>
      <c r="F4" s="50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</row>
    <row r="5" spans="1:35" ht="15.6" x14ac:dyDescent="0.3">
      <c r="A5" s="50" t="s">
        <v>469</v>
      </c>
      <c r="B5" s="53"/>
      <c r="C5" s="383" t="s">
        <v>678</v>
      </c>
      <c r="D5" s="50"/>
      <c r="E5" s="54"/>
      <c r="F5" s="54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2"/>
      <c r="AH5" s="52"/>
    </row>
    <row r="6" spans="1:35" ht="15.6" x14ac:dyDescent="0.3">
      <c r="A6" s="50"/>
      <c r="B6" s="53"/>
      <c r="C6" s="67"/>
      <c r="D6" s="50"/>
      <c r="E6" s="54"/>
      <c r="F6" s="54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2"/>
      <c r="AH6" s="52"/>
    </row>
    <row r="7" spans="1:35" ht="15" thickBot="1" x14ac:dyDescent="0.3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2"/>
      <c r="AH7" s="52"/>
    </row>
    <row r="8" spans="1:35" s="419" customFormat="1" ht="29.4" thickBot="1" x14ac:dyDescent="0.35">
      <c r="A8" s="57" t="s">
        <v>138</v>
      </c>
      <c r="B8" s="57" t="s">
        <v>139</v>
      </c>
      <c r="C8" s="57" t="s">
        <v>145</v>
      </c>
      <c r="D8" s="57" t="s">
        <v>43</v>
      </c>
      <c r="E8" s="55" t="s">
        <v>404</v>
      </c>
      <c r="F8" s="55" t="s">
        <v>697</v>
      </c>
      <c r="G8" s="55" t="s">
        <v>16</v>
      </c>
      <c r="H8" s="25" t="s">
        <v>17</v>
      </c>
      <c r="I8" s="197" t="s">
        <v>238</v>
      </c>
      <c r="J8" s="198" t="s">
        <v>239</v>
      </c>
      <c r="K8" s="197" t="s">
        <v>240</v>
      </c>
      <c r="L8" s="198" t="s">
        <v>400</v>
      </c>
      <c r="M8" s="197" t="s">
        <v>401</v>
      </c>
      <c r="N8" s="198" t="s">
        <v>466</v>
      </c>
      <c r="O8" s="198" t="s">
        <v>496</v>
      </c>
      <c r="P8" s="198" t="s">
        <v>497</v>
      </c>
      <c r="Q8" s="198" t="s">
        <v>498</v>
      </c>
      <c r="R8" s="198" t="s">
        <v>499</v>
      </c>
      <c r="S8" s="198" t="s">
        <v>500</v>
      </c>
      <c r="T8" s="198" t="s">
        <v>501</v>
      </c>
      <c r="U8" s="197" t="s">
        <v>502</v>
      </c>
      <c r="V8" s="198" t="s">
        <v>503</v>
      </c>
      <c r="W8" s="198" t="s">
        <v>504</v>
      </c>
      <c r="X8" s="198" t="s">
        <v>505</v>
      </c>
      <c r="Y8" s="197" t="s">
        <v>506</v>
      </c>
      <c r="Z8" s="198" t="s">
        <v>130</v>
      </c>
      <c r="AA8" s="40" t="s">
        <v>157</v>
      </c>
      <c r="AB8" s="198" t="s">
        <v>236</v>
      </c>
      <c r="AC8" s="198" t="s">
        <v>237</v>
      </c>
      <c r="AD8" s="198" t="s">
        <v>238</v>
      </c>
      <c r="AE8" s="198" t="s">
        <v>239</v>
      </c>
      <c r="AF8" s="198" t="s">
        <v>240</v>
      </c>
      <c r="AG8" s="55" t="s">
        <v>157</v>
      </c>
      <c r="AH8" s="55" t="s">
        <v>158</v>
      </c>
    </row>
    <row r="9" spans="1:35" s="17" customFormat="1" x14ac:dyDescent="0.3">
      <c r="A9" s="414" t="s">
        <v>283</v>
      </c>
      <c r="B9" s="414" t="s">
        <v>684</v>
      </c>
      <c r="C9" s="415" t="s">
        <v>682</v>
      </c>
      <c r="D9" s="416" t="s">
        <v>683</v>
      </c>
      <c r="E9" s="417">
        <v>280000</v>
      </c>
      <c r="F9" s="417"/>
      <c r="G9" s="418">
        <f t="shared" ref="G9:G21" si="0">SUM(I9:AF9)</f>
        <v>110568.68</v>
      </c>
      <c r="H9" s="418">
        <f t="shared" ref="H9:H20" si="1">E9-G9</f>
        <v>169431.32</v>
      </c>
      <c r="I9" s="401"/>
      <c r="J9" s="401"/>
      <c r="K9" s="401"/>
      <c r="L9" s="401"/>
      <c r="M9" s="401"/>
      <c r="N9" s="402"/>
      <c r="O9" s="401"/>
      <c r="P9" s="401"/>
      <c r="Q9" s="401"/>
      <c r="R9" s="401"/>
      <c r="S9" s="401"/>
      <c r="T9" s="403">
        <v>8232.7800000000007</v>
      </c>
      <c r="U9" s="401">
        <v>102335.9</v>
      </c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7"/>
      <c r="AH9" s="407"/>
      <c r="AI9" s="239"/>
    </row>
    <row r="10" spans="1:35" s="17" customFormat="1" x14ac:dyDescent="0.3">
      <c r="A10" s="397" t="s">
        <v>54</v>
      </c>
      <c r="B10" s="391" t="s">
        <v>192</v>
      </c>
      <c r="C10" s="389" t="s">
        <v>479</v>
      </c>
      <c r="D10" s="391" t="s">
        <v>480</v>
      </c>
      <c r="E10" s="398">
        <v>377460</v>
      </c>
      <c r="F10" s="398"/>
      <c r="G10" s="386">
        <f t="shared" si="0"/>
        <v>203100</v>
      </c>
      <c r="H10" s="386">
        <f t="shared" si="1"/>
        <v>174360</v>
      </c>
      <c r="I10" s="401"/>
      <c r="J10" s="401"/>
      <c r="K10" s="401"/>
      <c r="L10" s="401"/>
      <c r="M10" s="401"/>
      <c r="N10" s="402"/>
      <c r="O10" s="401"/>
      <c r="P10" s="401"/>
      <c r="Q10" s="401"/>
      <c r="R10" s="401"/>
      <c r="S10" s="401"/>
      <c r="T10" s="404">
        <v>79115.3</v>
      </c>
      <c r="U10" s="401">
        <f>53880.9+53880.9</f>
        <v>107761.8</v>
      </c>
      <c r="V10" s="401">
        <v>16222.9</v>
      </c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7"/>
      <c r="AH10" s="407"/>
      <c r="AI10" s="239"/>
    </row>
    <row r="11" spans="1:35" s="17" customFormat="1" x14ac:dyDescent="0.3">
      <c r="A11" s="397" t="s">
        <v>54</v>
      </c>
      <c r="B11" s="390" t="s">
        <v>192</v>
      </c>
      <c r="C11" s="389" t="s">
        <v>481</v>
      </c>
      <c r="D11" s="390" t="s">
        <v>482</v>
      </c>
      <c r="E11" s="399">
        <v>368280</v>
      </c>
      <c r="F11" s="399"/>
      <c r="G11" s="386">
        <f t="shared" si="0"/>
        <v>191800</v>
      </c>
      <c r="H11" s="386">
        <f t="shared" si="1"/>
        <v>176480</v>
      </c>
      <c r="I11" s="401"/>
      <c r="J11" s="401"/>
      <c r="K11" s="401"/>
      <c r="L11" s="401"/>
      <c r="M11" s="401"/>
      <c r="N11" s="402"/>
      <c r="O11" s="401"/>
      <c r="P11" s="401"/>
      <c r="Q11" s="401"/>
      <c r="R11" s="401">
        <v>91285.77</v>
      </c>
      <c r="S11" s="401"/>
      <c r="T11" s="401">
        <f>21921.72+23566.28</f>
        <v>45488</v>
      </c>
      <c r="U11" s="401">
        <f>19299.23+35727</f>
        <v>55026.229999999996</v>
      </c>
      <c r="V11" s="401"/>
      <c r="W11" s="401"/>
      <c r="X11" s="401"/>
      <c r="Y11" s="401"/>
      <c r="Z11" s="401"/>
      <c r="AA11" s="401"/>
      <c r="AB11" s="401"/>
      <c r="AC11" s="401"/>
      <c r="AD11" s="401"/>
      <c r="AE11" s="401"/>
      <c r="AF11" s="401"/>
      <c r="AG11" s="407"/>
      <c r="AH11" s="407"/>
      <c r="AI11" s="239"/>
    </row>
    <row r="12" spans="1:35" s="17" customFormat="1" x14ac:dyDescent="0.3">
      <c r="A12" s="397" t="s">
        <v>54</v>
      </c>
      <c r="B12" s="391" t="s">
        <v>192</v>
      </c>
      <c r="C12" s="394" t="s">
        <v>483</v>
      </c>
      <c r="D12" s="391" t="s">
        <v>484</v>
      </c>
      <c r="E12" s="398">
        <v>330000</v>
      </c>
      <c r="F12" s="398">
        <v>126864</v>
      </c>
      <c r="G12" s="386">
        <f t="shared" si="0"/>
        <v>451635.11</v>
      </c>
      <c r="H12" s="386">
        <f>E12+F12-G12</f>
        <v>5228.890000000014</v>
      </c>
      <c r="I12" s="401"/>
      <c r="J12" s="401"/>
      <c r="K12" s="401"/>
      <c r="L12" s="401"/>
      <c r="M12" s="401"/>
      <c r="N12" s="402"/>
      <c r="O12" s="401"/>
      <c r="P12" s="401"/>
      <c r="Q12" s="401"/>
      <c r="R12" s="401"/>
      <c r="S12" s="401"/>
      <c r="T12" s="401"/>
      <c r="U12" s="401"/>
      <c r="V12" s="401"/>
      <c r="W12" s="401">
        <v>417290.19</v>
      </c>
      <c r="X12" s="401">
        <v>34344.92</v>
      </c>
      <c r="Y12" s="401"/>
      <c r="Z12" s="401"/>
      <c r="AA12" s="401"/>
      <c r="AB12" s="401"/>
      <c r="AC12" s="401"/>
      <c r="AD12" s="401"/>
      <c r="AE12" s="401"/>
      <c r="AF12" s="401"/>
      <c r="AG12" s="407"/>
      <c r="AH12" s="407"/>
      <c r="AI12" s="239"/>
    </row>
    <row r="13" spans="1:35" s="17" customFormat="1" x14ac:dyDescent="0.3">
      <c r="A13" s="397" t="s">
        <v>54</v>
      </c>
      <c r="B13" s="391" t="s">
        <v>192</v>
      </c>
      <c r="C13" s="394" t="s">
        <v>687</v>
      </c>
      <c r="D13" s="391" t="s">
        <v>691</v>
      </c>
      <c r="E13" s="398">
        <v>229600</v>
      </c>
      <c r="F13" s="398"/>
      <c r="G13" s="386">
        <f t="shared" si="0"/>
        <v>196483.16999999998</v>
      </c>
      <c r="H13" s="386">
        <f t="shared" si="1"/>
        <v>33116.830000000016</v>
      </c>
      <c r="I13" s="401"/>
      <c r="J13" s="401"/>
      <c r="K13" s="401"/>
      <c r="L13" s="401"/>
      <c r="M13" s="401"/>
      <c r="N13" s="402"/>
      <c r="O13" s="401"/>
      <c r="P13" s="401"/>
      <c r="Q13" s="401"/>
      <c r="R13" s="401"/>
      <c r="S13" s="401"/>
      <c r="T13" s="401"/>
      <c r="U13" s="401"/>
      <c r="V13" s="401">
        <v>143334.09</v>
      </c>
      <c r="W13" s="401">
        <v>53149.08</v>
      </c>
      <c r="X13" s="401"/>
      <c r="Y13" s="401"/>
      <c r="Z13" s="401"/>
      <c r="AA13" s="401"/>
      <c r="AB13" s="401"/>
      <c r="AC13" s="401"/>
      <c r="AD13" s="401"/>
      <c r="AE13" s="401"/>
      <c r="AF13" s="401"/>
      <c r="AG13" s="407"/>
      <c r="AH13" s="407"/>
      <c r="AI13" s="239"/>
    </row>
    <row r="14" spans="1:35" s="17" customFormat="1" x14ac:dyDescent="0.3">
      <c r="A14" s="397" t="s">
        <v>54</v>
      </c>
      <c r="B14" s="391" t="s">
        <v>192</v>
      </c>
      <c r="C14" s="394" t="s">
        <v>689</v>
      </c>
      <c r="D14" s="391" t="s">
        <v>692</v>
      </c>
      <c r="E14" s="398">
        <v>210500</v>
      </c>
      <c r="F14" s="398"/>
      <c r="G14" s="386">
        <f t="shared" si="0"/>
        <v>68843.760000000009</v>
      </c>
      <c r="H14" s="386">
        <f t="shared" si="1"/>
        <v>141656.24</v>
      </c>
      <c r="I14" s="401"/>
      <c r="J14" s="401"/>
      <c r="K14" s="401"/>
      <c r="L14" s="401"/>
      <c r="M14" s="401"/>
      <c r="N14" s="402"/>
      <c r="O14" s="401"/>
      <c r="P14" s="401"/>
      <c r="Q14" s="401"/>
      <c r="R14" s="401"/>
      <c r="S14" s="401"/>
      <c r="T14" s="401"/>
      <c r="U14" s="401"/>
      <c r="V14" s="401">
        <v>34852.18</v>
      </c>
      <c r="W14" s="401">
        <v>33991.58</v>
      </c>
      <c r="X14" s="401"/>
      <c r="Y14" s="401"/>
      <c r="Z14" s="401"/>
      <c r="AA14" s="401"/>
      <c r="AB14" s="401"/>
      <c r="AC14" s="401"/>
      <c r="AD14" s="401"/>
      <c r="AE14" s="401"/>
      <c r="AF14" s="401"/>
      <c r="AG14" s="407"/>
      <c r="AH14" s="407"/>
      <c r="AI14" s="239"/>
    </row>
    <row r="15" spans="1:35" s="17" customFormat="1" x14ac:dyDescent="0.3">
      <c r="A15" s="397" t="s">
        <v>217</v>
      </c>
      <c r="B15" s="391" t="s">
        <v>220</v>
      </c>
      <c r="C15" s="393" t="s">
        <v>485</v>
      </c>
      <c r="D15" s="391" t="s">
        <v>486</v>
      </c>
      <c r="E15" s="398">
        <v>350000</v>
      </c>
      <c r="F15" s="398"/>
      <c r="G15" s="386">
        <f t="shared" si="0"/>
        <v>350000</v>
      </c>
      <c r="H15" s="386">
        <f t="shared" si="1"/>
        <v>0</v>
      </c>
      <c r="I15" s="401"/>
      <c r="J15" s="401"/>
      <c r="K15" s="401"/>
      <c r="L15" s="401"/>
      <c r="M15" s="401"/>
      <c r="N15" s="401"/>
      <c r="O15" s="401"/>
      <c r="P15" s="402"/>
      <c r="Q15" s="402">
        <v>257299.26</v>
      </c>
      <c r="R15" s="401"/>
      <c r="S15" s="401"/>
      <c r="T15" s="401">
        <v>79400.45</v>
      </c>
      <c r="U15" s="401">
        <v>13300.29</v>
      </c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7"/>
      <c r="AH15" s="407"/>
      <c r="AI15" s="239"/>
    </row>
    <row r="16" spans="1:35" s="17" customFormat="1" x14ac:dyDescent="0.3">
      <c r="A16" s="397" t="s">
        <v>51</v>
      </c>
      <c r="B16" s="391" t="s">
        <v>167</v>
      </c>
      <c r="C16" s="393" t="s">
        <v>73</v>
      </c>
      <c r="D16" s="391" t="s">
        <v>487</v>
      </c>
      <c r="E16" s="398">
        <v>341000</v>
      </c>
      <c r="F16" s="398"/>
      <c r="G16" s="386">
        <f t="shared" si="0"/>
        <v>310162.79000000004</v>
      </c>
      <c r="H16" s="386">
        <f t="shared" si="1"/>
        <v>30837.209999999963</v>
      </c>
      <c r="I16" s="401"/>
      <c r="J16" s="401"/>
      <c r="K16" s="401"/>
      <c r="L16" s="402"/>
      <c r="M16" s="402"/>
      <c r="N16" s="402"/>
      <c r="O16" s="401"/>
      <c r="P16" s="402"/>
      <c r="Q16" s="402">
        <v>116843.41</v>
      </c>
      <c r="R16" s="401">
        <v>17018.439999999999</v>
      </c>
      <c r="S16" s="401"/>
      <c r="T16" s="401"/>
      <c r="U16" s="401"/>
      <c r="V16" s="401"/>
      <c r="W16" s="401"/>
      <c r="X16" s="401">
        <v>176300.94</v>
      </c>
      <c r="Y16" s="401"/>
      <c r="Z16" s="401"/>
      <c r="AA16" s="401"/>
      <c r="AB16" s="401"/>
      <c r="AC16" s="401"/>
      <c r="AD16" s="401"/>
      <c r="AE16" s="401"/>
      <c r="AF16" s="401"/>
      <c r="AG16" s="239"/>
      <c r="AH16" s="239"/>
      <c r="AI16" s="239"/>
    </row>
    <row r="17" spans="1:35" s="17" customFormat="1" x14ac:dyDescent="0.3">
      <c r="A17" s="397" t="s">
        <v>51</v>
      </c>
      <c r="B17" s="391" t="s">
        <v>167</v>
      </c>
      <c r="C17" s="422" t="s">
        <v>688</v>
      </c>
      <c r="D17" s="391" t="s">
        <v>690</v>
      </c>
      <c r="E17" s="398">
        <v>263800</v>
      </c>
      <c r="F17" s="398"/>
      <c r="G17" s="386">
        <f t="shared" si="0"/>
        <v>0</v>
      </c>
      <c r="H17" s="386">
        <f t="shared" si="1"/>
        <v>263800</v>
      </c>
      <c r="I17" s="401"/>
      <c r="J17" s="401"/>
      <c r="K17" s="401"/>
      <c r="L17" s="402"/>
      <c r="M17" s="402"/>
      <c r="N17" s="402"/>
      <c r="O17" s="401"/>
      <c r="P17" s="402"/>
      <c r="Q17" s="402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239"/>
      <c r="AH17" s="239"/>
      <c r="AI17" s="239"/>
    </row>
    <row r="18" spans="1:35" s="17" customFormat="1" x14ac:dyDescent="0.3">
      <c r="A18" s="397" t="s">
        <v>248</v>
      </c>
      <c r="B18" s="391" t="s">
        <v>264</v>
      </c>
      <c r="C18" s="394" t="s">
        <v>488</v>
      </c>
      <c r="D18" s="391" t="s">
        <v>489</v>
      </c>
      <c r="E18" s="398">
        <v>218400</v>
      </c>
      <c r="F18" s="398"/>
      <c r="G18" s="386">
        <f t="shared" si="0"/>
        <v>218400</v>
      </c>
      <c r="H18" s="386">
        <f t="shared" si="1"/>
        <v>0</v>
      </c>
      <c r="I18" s="401"/>
      <c r="J18" s="401"/>
      <c r="K18" s="401"/>
      <c r="L18" s="401"/>
      <c r="M18" s="402">
        <v>13153.9</v>
      </c>
      <c r="N18" s="402"/>
      <c r="O18" s="401">
        <f>25239.46+9482.92</f>
        <v>34722.379999999997</v>
      </c>
      <c r="P18" s="401"/>
      <c r="Q18" s="401">
        <v>16209.05</v>
      </c>
      <c r="R18" s="401">
        <v>18560.849999999999</v>
      </c>
      <c r="S18" s="401"/>
      <c r="T18" s="401">
        <f>31519.76+44845.14</f>
        <v>76364.899999999994</v>
      </c>
      <c r="U18" s="401">
        <v>59388.92</v>
      </c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7"/>
      <c r="AH18" s="407"/>
      <c r="AI18" s="239"/>
    </row>
    <row r="19" spans="1:35" s="17" customFormat="1" x14ac:dyDescent="0.3">
      <c r="A19" s="424" t="s">
        <v>518</v>
      </c>
      <c r="B19" s="391" t="s">
        <v>693</v>
      </c>
      <c r="C19" s="394" t="s">
        <v>695</v>
      </c>
      <c r="D19" s="391" t="s">
        <v>694</v>
      </c>
      <c r="E19" s="398">
        <v>330000</v>
      </c>
      <c r="F19" s="398"/>
      <c r="G19" s="386">
        <f t="shared" si="0"/>
        <v>151820.29999999999</v>
      </c>
      <c r="H19" s="386">
        <f t="shared" si="1"/>
        <v>178179.7</v>
      </c>
      <c r="I19" s="401"/>
      <c r="J19" s="401"/>
      <c r="K19" s="401"/>
      <c r="L19" s="401"/>
      <c r="M19" s="402"/>
      <c r="N19" s="402"/>
      <c r="O19" s="401"/>
      <c r="P19" s="401"/>
      <c r="Q19" s="401"/>
      <c r="R19" s="401"/>
      <c r="S19" s="401"/>
      <c r="T19" s="401"/>
      <c r="U19" s="401"/>
      <c r="V19" s="401"/>
      <c r="W19" s="401">
        <f>42588.7+109231.6</f>
        <v>151820.29999999999</v>
      </c>
      <c r="X19" s="401"/>
      <c r="Y19" s="401"/>
      <c r="Z19" s="401"/>
      <c r="AA19" s="401"/>
      <c r="AB19" s="401"/>
      <c r="AC19" s="401"/>
      <c r="AD19" s="401"/>
      <c r="AE19" s="401"/>
      <c r="AF19" s="401"/>
      <c r="AG19" s="407"/>
      <c r="AH19" s="407"/>
      <c r="AI19" s="239"/>
    </row>
    <row r="20" spans="1:35" s="17" customFormat="1" x14ac:dyDescent="0.3">
      <c r="A20" s="397" t="s">
        <v>490</v>
      </c>
      <c r="B20" s="395" t="s">
        <v>491</v>
      </c>
      <c r="C20" s="394" t="s">
        <v>492</v>
      </c>
      <c r="D20" s="395" t="s">
        <v>493</v>
      </c>
      <c r="E20" s="400">
        <v>330000</v>
      </c>
      <c r="F20" s="400"/>
      <c r="G20" s="386">
        <f t="shared" si="0"/>
        <v>16367.83</v>
      </c>
      <c r="H20" s="386">
        <f t="shared" si="1"/>
        <v>313632.17</v>
      </c>
      <c r="I20" s="401"/>
      <c r="J20" s="401"/>
      <c r="K20" s="401"/>
      <c r="L20" s="402"/>
      <c r="M20" s="402"/>
      <c r="N20" s="405"/>
      <c r="O20" s="401"/>
      <c r="P20" s="402"/>
      <c r="Q20" s="402"/>
      <c r="R20" s="401"/>
      <c r="S20" s="401"/>
      <c r="T20" s="401">
        <v>16367.83</v>
      </c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7"/>
      <c r="AH20" s="407"/>
      <c r="AI20" s="239"/>
    </row>
    <row r="21" spans="1:35" s="17" customFormat="1" x14ac:dyDescent="0.3">
      <c r="A21" s="423" t="s">
        <v>102</v>
      </c>
      <c r="B21" s="391" t="s">
        <v>533</v>
      </c>
      <c r="C21" s="394" t="s">
        <v>686</v>
      </c>
      <c r="D21" s="391" t="s">
        <v>685</v>
      </c>
      <c r="E21" s="398">
        <v>330000</v>
      </c>
      <c r="F21" s="398"/>
      <c r="G21" s="386">
        <f t="shared" si="0"/>
        <v>0</v>
      </c>
      <c r="H21" s="386">
        <f t="shared" ref="H21" si="2">E21-G21</f>
        <v>330000</v>
      </c>
      <c r="I21" s="401"/>
      <c r="J21" s="401"/>
      <c r="K21" s="401"/>
      <c r="L21" s="402"/>
      <c r="M21" s="402"/>
      <c r="N21" s="402"/>
      <c r="O21" s="401"/>
      <c r="P21" s="402"/>
      <c r="Q21" s="402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210"/>
      <c r="AH21" s="210"/>
      <c r="AI21" s="239"/>
    </row>
    <row r="22" spans="1:35" s="17" customFormat="1" x14ac:dyDescent="0.3">
      <c r="A22" s="393"/>
      <c r="B22" s="390"/>
      <c r="C22" s="394"/>
      <c r="D22" s="391"/>
      <c r="E22" s="386"/>
      <c r="F22" s="386"/>
      <c r="G22" s="386"/>
      <c r="H22" s="386"/>
      <c r="I22" s="401"/>
      <c r="J22" s="401"/>
      <c r="K22" s="401"/>
      <c r="L22" s="402"/>
      <c r="M22" s="402"/>
      <c r="N22" s="402"/>
      <c r="O22" s="401"/>
      <c r="P22" s="402"/>
      <c r="Q22" s="404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7"/>
      <c r="AH22" s="407"/>
      <c r="AI22" s="239"/>
    </row>
    <row r="23" spans="1:35" s="17" customFormat="1" x14ac:dyDescent="0.3">
      <c r="A23" s="389"/>
      <c r="B23" s="390"/>
      <c r="C23" s="389"/>
      <c r="D23" s="395"/>
      <c r="E23" s="386"/>
      <c r="F23" s="386"/>
      <c r="G23" s="386"/>
      <c r="H23" s="386"/>
      <c r="I23" s="401"/>
      <c r="J23" s="401"/>
      <c r="K23" s="401"/>
      <c r="L23" s="401"/>
      <c r="M23" s="401"/>
      <c r="N23" s="402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7"/>
      <c r="AH23" s="407"/>
      <c r="AI23" s="239"/>
    </row>
    <row r="24" spans="1:35" s="17" customFormat="1" x14ac:dyDescent="0.3">
      <c r="A24" s="410"/>
      <c r="B24" s="410"/>
      <c r="C24" s="410"/>
      <c r="D24" s="410"/>
      <c r="E24" s="410"/>
      <c r="F24" s="410"/>
      <c r="G24" s="410"/>
      <c r="H24" s="410"/>
      <c r="I24" s="420"/>
      <c r="J24" s="420"/>
      <c r="K24" s="420"/>
      <c r="L24" s="420"/>
      <c r="M24" s="420"/>
      <c r="N24" s="421"/>
      <c r="O24" s="420"/>
      <c r="P24" s="420"/>
      <c r="Q24" s="420"/>
      <c r="R24" s="420"/>
      <c r="S24" s="401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08"/>
      <c r="AH24" s="408"/>
    </row>
    <row r="25" spans="1:35" x14ac:dyDescent="0.3">
      <c r="A25" s="411" t="s">
        <v>46</v>
      </c>
      <c r="B25" s="412"/>
      <c r="C25" s="412"/>
      <c r="D25" s="412"/>
      <c r="E25" s="413">
        <f t="shared" ref="E25:AF25" si="3">SUM(E9:E23)</f>
        <v>3959040</v>
      </c>
      <c r="F25" s="413">
        <f t="shared" si="3"/>
        <v>126864</v>
      </c>
      <c r="G25" s="413">
        <f t="shared" si="3"/>
        <v>2269181.6399999997</v>
      </c>
      <c r="H25" s="413">
        <f t="shared" si="3"/>
        <v>1816722.3599999999</v>
      </c>
      <c r="I25" s="413">
        <f t="shared" si="3"/>
        <v>0</v>
      </c>
      <c r="J25" s="413">
        <f t="shared" si="3"/>
        <v>0</v>
      </c>
      <c r="K25" s="413">
        <f t="shared" si="3"/>
        <v>0</v>
      </c>
      <c r="L25" s="413">
        <f t="shared" si="3"/>
        <v>0</v>
      </c>
      <c r="M25" s="413">
        <f t="shared" si="3"/>
        <v>13153.9</v>
      </c>
      <c r="N25" s="413">
        <f t="shared" si="3"/>
        <v>0</v>
      </c>
      <c r="O25" s="413">
        <f t="shared" si="3"/>
        <v>34722.379999999997</v>
      </c>
      <c r="P25" s="413">
        <f t="shared" si="3"/>
        <v>0</v>
      </c>
      <c r="Q25" s="413">
        <f t="shared" si="3"/>
        <v>390351.72000000003</v>
      </c>
      <c r="R25" s="413">
        <f t="shared" si="3"/>
        <v>126865.06</v>
      </c>
      <c r="S25" s="413">
        <f t="shared" si="3"/>
        <v>0</v>
      </c>
      <c r="T25" s="413">
        <f t="shared" si="3"/>
        <v>304969.26000000007</v>
      </c>
      <c r="U25" s="413">
        <f t="shared" si="3"/>
        <v>337813.13999999996</v>
      </c>
      <c r="V25" s="413">
        <f t="shared" si="3"/>
        <v>194409.16999999998</v>
      </c>
      <c r="W25" s="413">
        <f t="shared" si="3"/>
        <v>656251.15</v>
      </c>
      <c r="X25" s="413">
        <f t="shared" si="3"/>
        <v>210645.86</v>
      </c>
      <c r="Y25" s="413">
        <f t="shared" si="3"/>
        <v>0</v>
      </c>
      <c r="Z25" s="413">
        <f t="shared" si="3"/>
        <v>0</v>
      </c>
      <c r="AA25" s="413">
        <f t="shared" si="3"/>
        <v>0</v>
      </c>
      <c r="AB25" s="413">
        <f t="shared" si="3"/>
        <v>0</v>
      </c>
      <c r="AC25" s="413">
        <f t="shared" si="3"/>
        <v>0</v>
      </c>
      <c r="AD25" s="413">
        <f t="shared" si="3"/>
        <v>0</v>
      </c>
      <c r="AE25" s="413">
        <f t="shared" si="3"/>
        <v>0</v>
      </c>
      <c r="AF25" s="413">
        <f t="shared" si="3"/>
        <v>0</v>
      </c>
      <c r="AG25" s="409">
        <f t="shared" ref="AG25:AH25" si="4">SUM(AG11:AG23)</f>
        <v>0</v>
      </c>
      <c r="AH25" s="406">
        <f t="shared" si="4"/>
        <v>0</v>
      </c>
      <c r="AI25" s="6"/>
    </row>
    <row r="26" spans="1:35" x14ac:dyDescent="0.3"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214"/>
      <c r="AH26" s="214"/>
      <c r="AI26" s="6"/>
    </row>
    <row r="27" spans="1:35" x14ac:dyDescent="0.3">
      <c r="E27" s="6"/>
      <c r="F27" s="6"/>
      <c r="G27" s="6" t="s">
        <v>699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v>143334.09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215"/>
      <c r="AH27" s="215"/>
      <c r="AI27" s="6"/>
    </row>
    <row r="28" spans="1:35" x14ac:dyDescent="0.3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v>34852.18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214"/>
      <c r="AH28" s="214"/>
      <c r="AI28" s="6"/>
    </row>
    <row r="29" spans="1:35" x14ac:dyDescent="0.3">
      <c r="E29" s="6"/>
      <c r="F29" s="6"/>
      <c r="G29" s="6">
        <f>G27-G25</f>
        <v>-407018.11999999965</v>
      </c>
      <c r="H29" s="6" t="s">
        <v>700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215"/>
      <c r="AH29" s="215"/>
      <c r="AI29" s="6"/>
    </row>
    <row r="30" spans="1:35" x14ac:dyDescent="0.3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>
        <v>42588.7</v>
      </c>
      <c r="X30" s="6"/>
      <c r="Y30" s="6"/>
      <c r="Z30" s="6"/>
      <c r="AA30" s="6"/>
      <c r="AB30" s="6"/>
      <c r="AC30" s="6"/>
      <c r="AD30" s="6"/>
      <c r="AE30" s="6"/>
      <c r="AF30" s="6"/>
      <c r="AG30" s="215"/>
      <c r="AH30" s="215"/>
      <c r="AI30" s="6"/>
    </row>
    <row r="31" spans="1:35" x14ac:dyDescent="0.3">
      <c r="E31" s="6" t="s">
        <v>33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215"/>
      <c r="AH31" s="215"/>
      <c r="AI31" s="6"/>
    </row>
    <row r="32" spans="1:35" x14ac:dyDescent="0.3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215"/>
      <c r="AH32" s="215"/>
      <c r="AI32" s="6"/>
    </row>
    <row r="33" spans="5:35" x14ac:dyDescent="0.3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215"/>
      <c r="AH33" s="215"/>
      <c r="AI33" s="6"/>
    </row>
    <row r="34" spans="5:35" x14ac:dyDescent="0.3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215"/>
      <c r="AH34" s="215"/>
      <c r="AI34" s="6"/>
    </row>
    <row r="35" spans="5:35" x14ac:dyDescent="0.3"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215"/>
      <c r="AH35" s="215"/>
      <c r="AI35" s="6"/>
    </row>
    <row r="36" spans="5:35" x14ac:dyDescent="0.3"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215"/>
      <c r="AH36" s="215"/>
      <c r="AI36" s="6"/>
    </row>
    <row r="37" spans="5:35" x14ac:dyDescent="0.3"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215"/>
      <c r="AH37" s="215"/>
      <c r="AI37" s="6"/>
    </row>
    <row r="38" spans="5:35" x14ac:dyDescent="0.3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215"/>
      <c r="AH38" s="215"/>
      <c r="AI38" s="6"/>
    </row>
    <row r="39" spans="5:35" x14ac:dyDescent="0.3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215"/>
      <c r="AH39" s="215"/>
      <c r="AI39" s="6"/>
    </row>
    <row r="40" spans="5:35" x14ac:dyDescent="0.3"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15"/>
      <c r="AH40" s="215"/>
      <c r="AI40" s="6"/>
    </row>
    <row r="41" spans="5:35" x14ac:dyDescent="0.3"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215"/>
      <c r="AH41" s="215"/>
      <c r="AI41" s="6"/>
    </row>
    <row r="42" spans="5:35" x14ac:dyDescent="0.3"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G42" s="30"/>
      <c r="AH42" s="30"/>
    </row>
    <row r="43" spans="5:35" x14ac:dyDescent="0.3"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G43" s="30"/>
      <c r="AH43" s="30"/>
    </row>
  </sheetData>
  <sheetProtection algorithmName="SHA-512" hashValue="1ZD4GL5iDLTRLpnKNmoYqzNWUcs7uokQ6s2ctLCyZSinuTp+AfEXmyW3ah/VQ2R/+ZdEPWzTvUTkqJOOF8MG7Q==" saltValue="Ulk7awi8OQ9VY3CZTIhiKA==" spinCount="100000" sheet="1" objects="1" scenarios="1"/>
  <hyperlinks>
    <hyperlink ref="C5" r:id="rId1" xr:uid="{AB1FBDE1-AA9C-44EB-81DA-BF43590AD7C5}"/>
  </hyperlinks>
  <pageMargins left="0.7" right="0.7" top="0.75" bottom="0.75" header="0.3" footer="0.3"/>
  <pageSetup orientation="portrait" horizontalDpi="1200" verticalDpi="1200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>
    <tabColor theme="2"/>
  </sheetPr>
  <dimension ref="A1:AA35"/>
  <sheetViews>
    <sheetView zoomScale="98" zoomScaleNormal="98" workbookViewId="0">
      <pane xSplit="8" ySplit="8" topLeftCell="Q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W12" sqref="W12"/>
    </sheetView>
  </sheetViews>
  <sheetFormatPr defaultColWidth="9.44140625" defaultRowHeight="14.4" x14ac:dyDescent="0.3"/>
  <cols>
    <col min="1" max="1" width="9.44140625" style="45"/>
    <col min="2" max="2" width="34.44140625" style="45" customWidth="1"/>
    <col min="3" max="3" width="9.5546875" style="45" customWidth="1"/>
    <col min="4" max="4" width="44.5546875" style="45" customWidth="1"/>
    <col min="5" max="8" width="14.5546875" style="45" customWidth="1"/>
    <col min="9" max="27" width="12.5546875" style="45" customWidth="1"/>
    <col min="28" max="16384" width="9.44140625" style="45"/>
  </cols>
  <sheetData>
    <row r="1" spans="1:27" ht="21" x14ac:dyDescent="0.4">
      <c r="A1" s="47" t="s">
        <v>0</v>
      </c>
      <c r="B1" s="53"/>
      <c r="C1" s="48" t="s">
        <v>47</v>
      </c>
      <c r="D1" s="48"/>
      <c r="E1" s="54"/>
      <c r="F1" s="54"/>
      <c r="G1" s="54"/>
      <c r="H1" s="53"/>
      <c r="I1" s="53"/>
      <c r="J1" s="53"/>
      <c r="K1" s="48"/>
      <c r="L1" s="53"/>
      <c r="M1" s="48" t="str">
        <f>$C$1</f>
        <v>Title V-B Charter School Grant Program C1</v>
      </c>
      <c r="N1" s="53"/>
      <c r="O1" s="53"/>
      <c r="P1" s="53"/>
      <c r="Q1" s="53"/>
      <c r="R1" s="48"/>
      <c r="S1" s="48" t="str">
        <f>$C$1</f>
        <v>Title V-B Charter School Grant Program C1</v>
      </c>
      <c r="T1" s="53"/>
      <c r="U1" s="53"/>
      <c r="V1" s="53"/>
      <c r="W1" s="53"/>
      <c r="X1" s="53"/>
      <c r="Y1" s="53"/>
      <c r="Z1" s="48" t="str">
        <f>$C$1</f>
        <v>Title V-B Charter School Grant Program C1</v>
      </c>
      <c r="AA1" s="53"/>
    </row>
    <row r="2" spans="1:27" ht="21" x14ac:dyDescent="0.4">
      <c r="A2" s="47" t="s">
        <v>147</v>
      </c>
      <c r="B2" s="49"/>
      <c r="C2" s="48" t="s">
        <v>665</v>
      </c>
      <c r="D2" s="48"/>
      <c r="E2" s="54"/>
      <c r="F2" s="54"/>
      <c r="G2" s="54"/>
      <c r="H2" s="53"/>
      <c r="I2" s="53"/>
      <c r="J2" s="53"/>
      <c r="K2" s="50"/>
      <c r="L2" s="53"/>
      <c r="M2" s="50" t="str">
        <f>"FY"&amp;$C$4</f>
        <v>FY2020-21</v>
      </c>
      <c r="N2" s="53"/>
      <c r="O2" s="53"/>
      <c r="P2" s="53"/>
      <c r="Q2" s="53"/>
      <c r="R2" s="56"/>
      <c r="S2" s="50" t="str">
        <f>"FY"&amp;$C$4</f>
        <v>FY2020-21</v>
      </c>
      <c r="T2" s="53"/>
      <c r="U2" s="53"/>
      <c r="V2" s="53"/>
      <c r="W2" s="53"/>
      <c r="X2" s="53"/>
      <c r="Y2" s="53"/>
      <c r="Z2" s="50" t="str">
        <f>"FY"&amp;$C$4</f>
        <v>FY2020-21</v>
      </c>
      <c r="AA2" s="53"/>
    </row>
    <row r="3" spans="1:27" ht="15.6" x14ac:dyDescent="0.3">
      <c r="A3" s="50" t="s">
        <v>1</v>
      </c>
      <c r="B3" s="53"/>
      <c r="C3" s="51">
        <v>5282</v>
      </c>
      <c r="D3" s="51"/>
      <c r="E3" s="54"/>
      <c r="F3" s="54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5.6" x14ac:dyDescent="0.3">
      <c r="A4" s="50" t="s">
        <v>2</v>
      </c>
      <c r="B4" s="53"/>
      <c r="C4" s="51" t="s">
        <v>495</v>
      </c>
      <c r="D4" s="51"/>
      <c r="E4" s="50"/>
      <c r="F4" s="50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15.6" x14ac:dyDescent="0.3">
      <c r="A5" s="50" t="s">
        <v>469</v>
      </c>
      <c r="B5" s="53"/>
      <c r="C5" s="383" t="s">
        <v>678</v>
      </c>
      <c r="D5" s="50"/>
      <c r="E5" s="54"/>
      <c r="F5" s="54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ht="15.6" x14ac:dyDescent="0.3">
      <c r="A6" s="50"/>
      <c r="B6" s="53"/>
      <c r="C6" s="67"/>
      <c r="D6" s="50"/>
      <c r="E6" s="54"/>
      <c r="F6" s="54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7" ht="15" thickBot="1" x14ac:dyDescent="0.3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ht="29.4" thickBot="1" x14ac:dyDescent="0.35">
      <c r="A8" s="57" t="s">
        <v>138</v>
      </c>
      <c r="B8" s="57" t="s">
        <v>139</v>
      </c>
      <c r="C8" s="57" t="s">
        <v>145</v>
      </c>
      <c r="D8" s="57" t="s">
        <v>43</v>
      </c>
      <c r="E8" s="174" t="s">
        <v>404</v>
      </c>
      <c r="F8" s="174" t="s">
        <v>697</v>
      </c>
      <c r="G8" s="174" t="s">
        <v>16</v>
      </c>
      <c r="H8" s="388" t="s">
        <v>17</v>
      </c>
      <c r="I8" s="26" t="s">
        <v>238</v>
      </c>
      <c r="J8" s="27" t="s">
        <v>239</v>
      </c>
      <c r="K8" s="26" t="s">
        <v>240</v>
      </c>
      <c r="L8" s="27" t="s">
        <v>400</v>
      </c>
      <c r="M8" s="26" t="s">
        <v>401</v>
      </c>
      <c r="N8" s="27" t="s">
        <v>466</v>
      </c>
      <c r="O8" s="27" t="s">
        <v>496</v>
      </c>
      <c r="P8" s="27" t="s">
        <v>497</v>
      </c>
      <c r="Q8" s="27" t="s">
        <v>498</v>
      </c>
      <c r="R8" s="27" t="s">
        <v>499</v>
      </c>
      <c r="S8" s="27" t="s">
        <v>500</v>
      </c>
      <c r="T8" s="27" t="s">
        <v>501</v>
      </c>
      <c r="U8" s="26" t="s">
        <v>502</v>
      </c>
      <c r="V8" s="27" t="s">
        <v>503</v>
      </c>
      <c r="W8" s="27" t="s">
        <v>504</v>
      </c>
      <c r="X8" s="27" t="s">
        <v>505</v>
      </c>
      <c r="Y8" s="26" t="s">
        <v>506</v>
      </c>
      <c r="Z8" s="27" t="s">
        <v>130</v>
      </c>
      <c r="AA8" s="12" t="s">
        <v>157</v>
      </c>
    </row>
    <row r="9" spans="1:27" x14ac:dyDescent="0.3">
      <c r="A9" s="389" t="s">
        <v>387</v>
      </c>
      <c r="B9" s="390" t="s">
        <v>388</v>
      </c>
      <c r="C9" s="389" t="s">
        <v>464</v>
      </c>
      <c r="D9" s="391" t="s">
        <v>389</v>
      </c>
      <c r="E9" s="392">
        <v>229250</v>
      </c>
      <c r="F9" s="392"/>
      <c r="G9" s="386">
        <f>SUM(I9:AA9)</f>
        <v>224197.47999999998</v>
      </c>
      <c r="H9" s="386">
        <f>E9+F9-G9</f>
        <v>5052.5200000000186</v>
      </c>
      <c r="I9" s="387"/>
      <c r="J9" s="212"/>
      <c r="K9" s="212"/>
      <c r="L9" s="212"/>
      <c r="M9" s="212"/>
      <c r="N9" s="212">
        <v>50189.8</v>
      </c>
      <c r="O9" s="212"/>
      <c r="P9" s="212"/>
      <c r="Q9" s="212"/>
      <c r="R9" s="212"/>
      <c r="S9" s="212"/>
      <c r="T9" s="212"/>
      <c r="U9" s="212"/>
      <c r="V9" s="212">
        <v>174007.67999999999</v>
      </c>
      <c r="W9" s="212"/>
      <c r="X9" s="212"/>
      <c r="Y9" s="212"/>
      <c r="Z9" s="212"/>
      <c r="AA9" s="212"/>
    </row>
    <row r="10" spans="1:27" x14ac:dyDescent="0.3">
      <c r="A10" s="393" t="s">
        <v>4</v>
      </c>
      <c r="B10" s="390" t="s">
        <v>91</v>
      </c>
      <c r="C10" s="394" t="s">
        <v>476</v>
      </c>
      <c r="D10" s="391" t="s">
        <v>386</v>
      </c>
      <c r="E10" s="386">
        <v>229250</v>
      </c>
      <c r="F10" s="386"/>
      <c r="G10" s="386">
        <f t="shared" ref="G10:G15" si="0">SUM(I10:AA10)</f>
        <v>203242.73</v>
      </c>
      <c r="H10" s="386">
        <f t="shared" ref="H10:H15" si="1">E10+F10-G10</f>
        <v>26007.26999999999</v>
      </c>
      <c r="I10" s="387"/>
      <c r="J10" s="212"/>
      <c r="K10" s="212"/>
      <c r="L10" s="212"/>
      <c r="M10" s="212"/>
      <c r="N10" s="212"/>
      <c r="O10" s="212"/>
      <c r="P10" s="212"/>
      <c r="Q10" s="212">
        <v>8918.0300000000007</v>
      </c>
      <c r="R10" s="212"/>
      <c r="S10" s="212"/>
      <c r="T10" s="212"/>
      <c r="U10" s="212"/>
      <c r="V10" s="212"/>
      <c r="W10" s="212">
        <v>194324.7</v>
      </c>
      <c r="X10" s="212"/>
      <c r="Y10" s="212"/>
      <c r="Z10" s="212"/>
      <c r="AA10" s="212"/>
    </row>
    <row r="11" spans="1:27" x14ac:dyDescent="0.3">
      <c r="A11" s="393" t="s">
        <v>51</v>
      </c>
      <c r="B11" s="390" t="s">
        <v>27</v>
      </c>
      <c r="C11" s="394" t="s">
        <v>462</v>
      </c>
      <c r="D11" s="395" t="s">
        <v>365</v>
      </c>
      <c r="E11" s="386">
        <v>229250</v>
      </c>
      <c r="F11" s="386"/>
      <c r="G11" s="386">
        <f t="shared" si="0"/>
        <v>36057.25</v>
      </c>
      <c r="H11" s="386">
        <f t="shared" si="1"/>
        <v>193192.75</v>
      </c>
      <c r="I11" s="387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>
        <v>36057.25</v>
      </c>
      <c r="V11" s="212"/>
      <c r="W11" s="212"/>
      <c r="X11" s="212"/>
      <c r="Y11" s="212"/>
      <c r="Z11" s="212"/>
      <c r="AA11" s="212"/>
    </row>
    <row r="12" spans="1:27" x14ac:dyDescent="0.3">
      <c r="A12" s="393" t="s">
        <v>88</v>
      </c>
      <c r="B12" s="390" t="s">
        <v>89</v>
      </c>
      <c r="C12" s="394" t="s">
        <v>396</v>
      </c>
      <c r="D12" s="391" t="s">
        <v>366</v>
      </c>
      <c r="E12" s="386">
        <v>0</v>
      </c>
      <c r="F12" s="386"/>
      <c r="G12" s="386">
        <f t="shared" si="0"/>
        <v>0</v>
      </c>
      <c r="H12" s="386">
        <f t="shared" si="1"/>
        <v>0</v>
      </c>
      <c r="I12" s="387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</row>
    <row r="13" spans="1:27" x14ac:dyDescent="0.3">
      <c r="A13" s="389" t="s">
        <v>384</v>
      </c>
      <c r="B13" s="390" t="s">
        <v>385</v>
      </c>
      <c r="C13" s="389" t="s">
        <v>397</v>
      </c>
      <c r="D13" s="395" t="s">
        <v>471</v>
      </c>
      <c r="E13" s="386">
        <v>229250</v>
      </c>
      <c r="F13" s="386"/>
      <c r="G13" s="386">
        <f t="shared" si="0"/>
        <v>229133.65</v>
      </c>
      <c r="H13" s="386">
        <f t="shared" si="1"/>
        <v>116.35000000000582</v>
      </c>
      <c r="I13" s="387" t="s">
        <v>33</v>
      </c>
      <c r="J13" s="212"/>
      <c r="K13" s="212"/>
      <c r="L13" s="212"/>
      <c r="M13" s="212"/>
      <c r="N13" s="212"/>
      <c r="O13" s="212"/>
      <c r="P13" s="212">
        <v>116768.62</v>
      </c>
      <c r="Q13" s="212"/>
      <c r="R13" s="212">
        <v>41263.21</v>
      </c>
      <c r="S13" s="212">
        <v>17436.54</v>
      </c>
      <c r="T13" s="212">
        <v>3226.55</v>
      </c>
      <c r="U13" s="212">
        <v>31486.32</v>
      </c>
      <c r="V13" s="212">
        <v>18952.41</v>
      </c>
      <c r="W13" s="212"/>
      <c r="X13" s="212"/>
      <c r="Y13" s="212"/>
      <c r="Z13" s="212"/>
      <c r="AA13" s="212"/>
    </row>
    <row r="14" spans="1:27" x14ac:dyDescent="0.3">
      <c r="A14" s="394" t="s">
        <v>54</v>
      </c>
      <c r="B14" s="390" t="s">
        <v>192</v>
      </c>
      <c r="C14" s="389" t="s">
        <v>463</v>
      </c>
      <c r="D14" s="390" t="s">
        <v>367</v>
      </c>
      <c r="E14" s="386">
        <v>229250</v>
      </c>
      <c r="F14" s="386"/>
      <c r="G14" s="386">
        <f t="shared" si="0"/>
        <v>229250</v>
      </c>
      <c r="H14" s="386">
        <f t="shared" si="1"/>
        <v>0</v>
      </c>
      <c r="I14" s="387"/>
      <c r="J14" s="212"/>
      <c r="K14" s="212"/>
      <c r="L14" s="212"/>
      <c r="M14" s="212"/>
      <c r="N14" s="212"/>
      <c r="O14" s="212"/>
      <c r="Q14" s="348">
        <f>59683.14+64355.97</f>
        <v>124039.11</v>
      </c>
      <c r="R14" s="212">
        <v>19992</v>
      </c>
      <c r="S14" s="212">
        <v>0</v>
      </c>
      <c r="T14" s="212"/>
      <c r="U14" s="212">
        <v>12740.22</v>
      </c>
      <c r="V14" s="212"/>
      <c r="W14" s="212">
        <v>72478.67</v>
      </c>
      <c r="X14" s="212"/>
      <c r="Y14" s="212"/>
      <c r="Z14" s="212"/>
      <c r="AA14" s="212"/>
    </row>
    <row r="15" spans="1:27" x14ac:dyDescent="0.3">
      <c r="A15" s="394" t="s">
        <v>54</v>
      </c>
      <c r="B15" s="390" t="s">
        <v>192</v>
      </c>
      <c r="C15" s="389" t="s">
        <v>465</v>
      </c>
      <c r="D15" s="390" t="s">
        <v>383</v>
      </c>
      <c r="E15" s="386">
        <v>229250</v>
      </c>
      <c r="F15" s="386">
        <v>34096</v>
      </c>
      <c r="G15" s="386">
        <f t="shared" si="0"/>
        <v>245703.25</v>
      </c>
      <c r="H15" s="386">
        <f t="shared" si="1"/>
        <v>17642.75</v>
      </c>
      <c r="I15" s="387"/>
      <c r="J15" s="212"/>
      <c r="K15" s="212"/>
      <c r="L15" s="212"/>
      <c r="M15" s="212"/>
      <c r="N15" s="212"/>
      <c r="O15" s="212"/>
      <c r="P15" s="212"/>
      <c r="Q15" s="212"/>
      <c r="R15" s="212"/>
      <c r="S15" s="212">
        <v>198453</v>
      </c>
      <c r="T15" s="212"/>
      <c r="U15" s="212">
        <v>14378</v>
      </c>
      <c r="V15" s="212"/>
      <c r="W15" s="212">
        <v>32872.25</v>
      </c>
      <c r="X15" s="212"/>
      <c r="Y15" s="212"/>
      <c r="Z15" s="212"/>
      <c r="AA15" s="212"/>
    </row>
    <row r="16" spans="1:27" ht="15" thickBot="1" x14ac:dyDescent="0.35">
      <c r="A16" s="385"/>
      <c r="B16" s="385"/>
      <c r="C16" s="385"/>
      <c r="D16" s="385"/>
      <c r="E16" s="385"/>
      <c r="F16" s="385"/>
      <c r="G16" s="385"/>
      <c r="H16" s="385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212"/>
      <c r="T16" s="199"/>
      <c r="U16" s="199"/>
      <c r="V16" s="199"/>
      <c r="W16" s="199"/>
      <c r="X16" s="199"/>
      <c r="Y16" s="199"/>
      <c r="Z16" s="199"/>
      <c r="AA16" s="199"/>
    </row>
    <row r="17" spans="1:27" ht="15" thickBot="1" x14ac:dyDescent="0.35">
      <c r="A17" s="139" t="s">
        <v>46</v>
      </c>
      <c r="B17" s="110"/>
      <c r="C17" s="110"/>
      <c r="D17" s="110"/>
      <c r="E17" s="211">
        <f t="shared" ref="E17:T17" si="2">SUM(E9:E15)</f>
        <v>1375500</v>
      </c>
      <c r="F17" s="211"/>
      <c r="G17" s="211">
        <f t="shared" si="2"/>
        <v>1167584.3599999999</v>
      </c>
      <c r="H17" s="219">
        <f t="shared" si="2"/>
        <v>242011.64</v>
      </c>
      <c r="I17" s="213">
        <f t="shared" si="2"/>
        <v>0</v>
      </c>
      <c r="J17" s="213">
        <f t="shared" si="2"/>
        <v>0</v>
      </c>
      <c r="K17" s="213">
        <f t="shared" si="2"/>
        <v>0</v>
      </c>
      <c r="L17" s="213">
        <f t="shared" si="2"/>
        <v>0</v>
      </c>
      <c r="M17" s="213">
        <f t="shared" si="2"/>
        <v>0</v>
      </c>
      <c r="N17" s="213">
        <f t="shared" si="2"/>
        <v>50189.8</v>
      </c>
      <c r="O17" s="213">
        <f t="shared" si="2"/>
        <v>0</v>
      </c>
      <c r="P17" s="213">
        <f t="shared" si="2"/>
        <v>116768.62</v>
      </c>
      <c r="Q17" s="213">
        <f t="shared" si="2"/>
        <v>132957.14000000001</v>
      </c>
      <c r="R17" s="213">
        <f t="shared" si="2"/>
        <v>61255.21</v>
      </c>
      <c r="S17" s="213">
        <f t="shared" si="2"/>
        <v>215889.54</v>
      </c>
      <c r="T17" s="213">
        <f t="shared" si="2"/>
        <v>3226.55</v>
      </c>
      <c r="U17" s="213">
        <f>SUM(U9:U15)</f>
        <v>94661.790000000008</v>
      </c>
      <c r="V17" s="213">
        <f t="shared" ref="V17:Z17" si="3">SUM(V9:V15)</f>
        <v>192960.09</v>
      </c>
      <c r="W17" s="213">
        <f t="shared" si="3"/>
        <v>299675.62</v>
      </c>
      <c r="X17" s="213">
        <f t="shared" si="3"/>
        <v>0</v>
      </c>
      <c r="Y17" s="213">
        <f t="shared" si="3"/>
        <v>0</v>
      </c>
      <c r="Z17" s="213">
        <f t="shared" si="3"/>
        <v>0</v>
      </c>
      <c r="AA17" s="213">
        <f t="shared" ref="AA17" si="4">SUM(AA10:AA13)</f>
        <v>0</v>
      </c>
    </row>
    <row r="18" spans="1:27" x14ac:dyDescent="0.3">
      <c r="E18" s="6"/>
      <c r="F18" s="6"/>
      <c r="G18" s="6" t="s">
        <v>33</v>
      </c>
      <c r="H18" s="6" t="s">
        <v>33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x14ac:dyDescent="0.3">
      <c r="E19" s="6"/>
      <c r="F19" s="6"/>
      <c r="G19" s="6">
        <v>973259.66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x14ac:dyDescent="0.3"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x14ac:dyDescent="0.3">
      <c r="A21" s="45">
        <v>6400</v>
      </c>
      <c r="B21" s="45" t="str">
        <f>TEXT(A21,"0000")</f>
        <v>6400</v>
      </c>
      <c r="E21" s="6"/>
      <c r="F21" s="6"/>
      <c r="G21" s="6">
        <f>G19-G17</f>
        <v>-194324.69999999984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x14ac:dyDescent="0.3"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x14ac:dyDescent="0.3"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x14ac:dyDescent="0.3"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x14ac:dyDescent="0.3"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x14ac:dyDescent="0.3"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x14ac:dyDescent="0.3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x14ac:dyDescent="0.3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x14ac:dyDescent="0.3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x14ac:dyDescent="0.3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x14ac:dyDescent="0.3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x14ac:dyDescent="0.3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5:27" x14ac:dyDescent="0.3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5:27" x14ac:dyDescent="0.3"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5:27" x14ac:dyDescent="0.3"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</sheetData>
  <sheetProtection algorithmName="SHA-512" hashValue="YZLzeIEdHALFvYrWvb0/owiAomkNRhjGrjZOA44MVVEevDQ6SeJ2jGEfROVIonKWiHc1w9LDCdXm/zy05fReTg==" saltValue="oqq6P4a35Nm4qzWcylkbCw==" spinCount="100000" sheet="1" objects="1" scenarios="1"/>
  <autoFilter ref="A8:AA15" xr:uid="{00000000-0009-0000-0000-000014000000}">
    <sortState xmlns:xlrd2="http://schemas.microsoft.com/office/spreadsheetml/2017/richdata2" ref="A9:AA15">
      <sortCondition ref="A8:A15"/>
    </sortState>
  </autoFilter>
  <hyperlinks>
    <hyperlink ref="C5" r:id="rId1" xr:uid="{58325C75-7074-42AB-B169-7F9B323EACDB}"/>
  </hyperlinks>
  <pageMargins left="0.7" right="0.7" top="0.75" bottom="0.75" header="0.3" footer="0.3"/>
  <pageSetup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FF967-9002-441A-9548-7249D65C47A3}">
  <sheetPr codeName="Sheet12"/>
  <dimension ref="A1"/>
  <sheetViews>
    <sheetView workbookViewId="0">
      <selection activeCell="R45" sqref="R4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9"/>
  <dimension ref="A1:W47"/>
  <sheetViews>
    <sheetView tabSelected="1" workbookViewId="0">
      <pane xSplit="7" ySplit="8" topLeftCell="P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V9" sqref="V9:V13"/>
    </sheetView>
  </sheetViews>
  <sheetFormatPr defaultColWidth="9.44140625" defaultRowHeight="14.4" x14ac:dyDescent="0.3"/>
  <cols>
    <col min="1" max="1" width="9.44140625" style="45"/>
    <col min="2" max="2" width="40.44140625" style="45" bestFit="1" customWidth="1"/>
    <col min="3" max="7" width="14.5546875" style="45" customWidth="1"/>
    <col min="8" max="21" width="12.5546875" style="45" customWidth="1"/>
    <col min="22" max="22" width="12.21875" style="45" bestFit="1" customWidth="1"/>
    <col min="23" max="23" width="11.21875" style="45" bestFit="1" customWidth="1"/>
    <col min="24" max="16384" width="9.44140625" style="45"/>
  </cols>
  <sheetData>
    <row r="1" spans="1:23" ht="21" x14ac:dyDescent="0.4">
      <c r="A1" s="47" t="s">
        <v>0</v>
      </c>
      <c r="B1" s="53"/>
      <c r="C1" s="48" t="s">
        <v>696</v>
      </c>
      <c r="D1" s="48"/>
      <c r="E1" s="48"/>
      <c r="F1" s="54"/>
      <c r="G1" s="53"/>
      <c r="H1" s="47" t="str">
        <f>$C$1</f>
        <v xml:space="preserve">Title V -SRAE </v>
      </c>
      <c r="I1" s="53"/>
      <c r="J1" s="53"/>
      <c r="K1" s="53"/>
      <c r="L1" s="53"/>
      <c r="M1" s="53"/>
      <c r="N1" s="53"/>
      <c r="O1" s="47" t="str">
        <f>$C$1</f>
        <v xml:space="preserve">Title V -SRAE </v>
      </c>
      <c r="P1" s="48"/>
      <c r="Q1" s="53"/>
      <c r="R1" s="53"/>
      <c r="S1" s="53"/>
      <c r="T1" s="53"/>
      <c r="U1" s="53"/>
      <c r="V1" s="53"/>
      <c r="W1" s="53"/>
    </row>
    <row r="2" spans="1:23" ht="21" x14ac:dyDescent="0.4">
      <c r="A2" s="47" t="s">
        <v>147</v>
      </c>
      <c r="B2" s="53"/>
      <c r="C2" s="48" t="s">
        <v>143</v>
      </c>
      <c r="D2" s="48"/>
      <c r="E2" s="48"/>
      <c r="F2" s="54"/>
      <c r="G2" s="53"/>
      <c r="H2" s="129" t="str">
        <f>"FY"&amp;$C$4</f>
        <v>FYFY20-21</v>
      </c>
      <c r="I2" s="53"/>
      <c r="J2" s="53"/>
      <c r="K2" s="53"/>
      <c r="L2" s="53"/>
      <c r="M2" s="53"/>
      <c r="N2" s="53"/>
      <c r="O2" s="130" t="str">
        <f>"FY"&amp;$C$4</f>
        <v>FYFY20-21</v>
      </c>
      <c r="P2" s="48"/>
      <c r="Q2" s="53"/>
      <c r="R2" s="53"/>
      <c r="S2" s="53"/>
      <c r="T2" s="53"/>
      <c r="U2" s="53"/>
      <c r="V2" s="53"/>
      <c r="W2" s="53"/>
    </row>
    <row r="3" spans="1:23" ht="15.6" x14ac:dyDescent="0.3">
      <c r="A3" s="50" t="s">
        <v>1</v>
      </c>
      <c r="B3" s="53"/>
      <c r="C3" s="51">
        <v>7235</v>
      </c>
      <c r="D3" s="51"/>
      <c r="E3" s="51"/>
      <c r="F3" s="54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5.6" x14ac:dyDescent="0.3">
      <c r="A4" s="50" t="s">
        <v>2</v>
      </c>
      <c r="B4" s="53"/>
      <c r="C4" s="51" t="s">
        <v>507</v>
      </c>
      <c r="D4" s="51"/>
      <c r="E4" s="51"/>
      <c r="F4" s="50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ht="15.6" x14ac:dyDescent="0.3">
      <c r="A5" s="50" t="s">
        <v>469</v>
      </c>
      <c r="B5" s="53"/>
      <c r="C5" s="67" t="s">
        <v>509</v>
      </c>
      <c r="D5" s="50"/>
      <c r="E5" s="50"/>
      <c r="F5" s="5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ht="15.6" x14ac:dyDescent="0.3">
      <c r="A6" s="50"/>
      <c r="B6" s="53"/>
      <c r="C6" s="67"/>
      <c r="D6" s="50"/>
      <c r="E6" s="50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ht="16.2" thickBot="1" x14ac:dyDescent="0.35">
      <c r="A7" s="50" t="s">
        <v>508</v>
      </c>
      <c r="B7" s="53"/>
      <c r="C7" s="50"/>
      <c r="D7" s="50"/>
      <c r="E7" s="50"/>
      <c r="F7" s="5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29.4" thickBot="1" x14ac:dyDescent="0.35">
      <c r="A8" s="55" t="s">
        <v>138</v>
      </c>
      <c r="B8" s="57" t="s">
        <v>132</v>
      </c>
      <c r="C8" s="55" t="s">
        <v>15</v>
      </c>
      <c r="D8" s="55" t="s">
        <v>105</v>
      </c>
      <c r="E8" s="55" t="s">
        <v>140</v>
      </c>
      <c r="F8" s="55" t="s">
        <v>16</v>
      </c>
      <c r="G8" s="25" t="s">
        <v>17</v>
      </c>
      <c r="H8" s="27" t="s">
        <v>400</v>
      </c>
      <c r="I8" s="27" t="s">
        <v>401</v>
      </c>
      <c r="J8" s="27" t="s">
        <v>466</v>
      </c>
      <c r="K8" s="27" t="s">
        <v>496</v>
      </c>
      <c r="L8" s="27" t="s">
        <v>497</v>
      </c>
      <c r="M8" s="27" t="s">
        <v>498</v>
      </c>
      <c r="N8" s="27" t="s">
        <v>499</v>
      </c>
      <c r="O8" s="27" t="s">
        <v>500</v>
      </c>
      <c r="P8" s="27" t="s">
        <v>501</v>
      </c>
      <c r="Q8" s="27" t="s">
        <v>502</v>
      </c>
      <c r="R8" s="27" t="s">
        <v>503</v>
      </c>
      <c r="S8" s="27" t="s">
        <v>504</v>
      </c>
      <c r="T8" s="27" t="s">
        <v>505</v>
      </c>
      <c r="U8" s="27" t="s">
        <v>506</v>
      </c>
      <c r="V8" s="27" t="s">
        <v>381</v>
      </c>
      <c r="W8" s="27" t="s">
        <v>382</v>
      </c>
    </row>
    <row r="9" spans="1:23" ht="15" thickBot="1" x14ac:dyDescent="0.35">
      <c r="A9" s="103" t="s">
        <v>370</v>
      </c>
      <c r="B9" s="323" t="s">
        <v>371</v>
      </c>
      <c r="C9" s="149">
        <v>180668</v>
      </c>
      <c r="D9" s="149"/>
      <c r="E9" s="149">
        <f>SUM(C9:D9)</f>
        <v>180668</v>
      </c>
      <c r="F9" s="149">
        <f>SUM(H9:U9)</f>
        <v>51462.54</v>
      </c>
      <c r="G9" s="149">
        <f>E9-F9</f>
        <v>129205.45999999999</v>
      </c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>
        <f>(43853.33+7609.21)</f>
        <v>51462.54</v>
      </c>
      <c r="U9" s="166"/>
      <c r="V9" s="191">
        <f>G9</f>
        <v>129205.45999999999</v>
      </c>
      <c r="W9" s="191"/>
    </row>
    <row r="10" spans="1:23" ht="15" thickBot="1" x14ac:dyDescent="0.35">
      <c r="A10" s="103" t="s">
        <v>100</v>
      </c>
      <c r="B10" s="323" t="s">
        <v>380</v>
      </c>
      <c r="C10" s="149">
        <v>138189</v>
      </c>
      <c r="D10" s="149"/>
      <c r="E10" s="149">
        <f t="shared" ref="E10:E14" si="0">SUM(C10:D10)</f>
        <v>138189</v>
      </c>
      <c r="F10" s="149">
        <f t="shared" ref="F10:F14" si="1">SUM(H10:U10)</f>
        <v>119678.98000000001</v>
      </c>
      <c r="G10" s="149">
        <f t="shared" ref="G10:G14" si="2">E10-F10</f>
        <v>18510.01999999999</v>
      </c>
      <c r="H10" s="166"/>
      <c r="I10" s="166"/>
      <c r="J10" s="166"/>
      <c r="K10" s="166">
        <v>29637.34</v>
      </c>
      <c r="L10" s="166"/>
      <c r="M10" s="166"/>
      <c r="N10" s="166"/>
      <c r="O10" s="166"/>
      <c r="P10" s="166"/>
      <c r="Q10" s="166">
        <v>21626.26</v>
      </c>
      <c r="R10" s="166">
        <v>9676.25</v>
      </c>
      <c r="S10" s="166">
        <v>8655.7800000000007</v>
      </c>
      <c r="T10" s="166">
        <v>43677.33</v>
      </c>
      <c r="U10" s="166">
        <v>6406.02</v>
      </c>
      <c r="V10" s="191">
        <f t="shared" ref="V10:V13" si="3">G10</f>
        <v>18510.01999999999</v>
      </c>
      <c r="W10" s="191"/>
    </row>
    <row r="11" spans="1:23" ht="15" thickBot="1" x14ac:dyDescent="0.35">
      <c r="A11" s="103" t="s">
        <v>473</v>
      </c>
      <c r="B11" s="323" t="s">
        <v>472</v>
      </c>
      <c r="C11" s="149">
        <v>50000</v>
      </c>
      <c r="D11" s="149"/>
      <c r="E11" s="149">
        <f t="shared" si="0"/>
        <v>50000</v>
      </c>
      <c r="F11" s="149">
        <f t="shared" si="1"/>
        <v>50000</v>
      </c>
      <c r="G11" s="149">
        <f t="shared" si="2"/>
        <v>0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>
        <v>50000</v>
      </c>
      <c r="V11" s="191">
        <f t="shared" si="3"/>
        <v>0</v>
      </c>
      <c r="W11" s="191"/>
    </row>
    <row r="12" spans="1:23" ht="15" thickBot="1" x14ac:dyDescent="0.35">
      <c r="A12" s="103" t="s">
        <v>259</v>
      </c>
      <c r="B12" s="323" t="s">
        <v>456</v>
      </c>
      <c r="C12" s="149">
        <v>79700</v>
      </c>
      <c r="D12" s="149"/>
      <c r="E12" s="149">
        <f t="shared" si="0"/>
        <v>79700</v>
      </c>
      <c r="F12" s="149">
        <f t="shared" si="1"/>
        <v>79328.84</v>
      </c>
      <c r="G12" s="149">
        <f t="shared" si="2"/>
        <v>371.16000000000349</v>
      </c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T12" s="166">
        <v>79328.84</v>
      </c>
      <c r="U12" s="166"/>
      <c r="V12" s="191">
        <f t="shared" si="3"/>
        <v>371.16000000000349</v>
      </c>
      <c r="W12" s="191"/>
    </row>
    <row r="13" spans="1:23" ht="15" thickBot="1" x14ac:dyDescent="0.35">
      <c r="A13" s="103" t="s">
        <v>457</v>
      </c>
      <c r="B13" s="323" t="s">
        <v>458</v>
      </c>
      <c r="C13" s="149">
        <v>63592</v>
      </c>
      <c r="D13" s="149"/>
      <c r="E13" s="149">
        <f t="shared" si="0"/>
        <v>63592</v>
      </c>
      <c r="F13" s="149">
        <f t="shared" si="1"/>
        <v>42967.640000000007</v>
      </c>
      <c r="G13" s="149">
        <f t="shared" si="2"/>
        <v>20624.359999999993</v>
      </c>
      <c r="H13" s="166"/>
      <c r="I13" s="166">
        <v>5607.49</v>
      </c>
      <c r="J13" s="166"/>
      <c r="K13" s="166"/>
      <c r="L13" s="166"/>
      <c r="M13" s="166">
        <f>(4786.21+8823.53)</f>
        <v>13609.740000000002</v>
      </c>
      <c r="N13" s="166">
        <v>5477.18</v>
      </c>
      <c r="O13" s="166">
        <v>5777.57</v>
      </c>
      <c r="P13" s="166">
        <v>7917.7</v>
      </c>
      <c r="Q13" s="166">
        <v>3319.34</v>
      </c>
      <c r="R13" s="166"/>
      <c r="S13" s="166"/>
      <c r="T13" s="166">
        <v>616.58000000000004</v>
      </c>
      <c r="U13" s="166">
        <v>642.04</v>
      </c>
      <c r="V13" s="191">
        <f t="shared" si="3"/>
        <v>20624.359999999993</v>
      </c>
      <c r="W13" s="191"/>
    </row>
    <row r="14" spans="1:23" ht="15" thickBot="1" x14ac:dyDescent="0.35">
      <c r="A14" s="103" t="s">
        <v>474</v>
      </c>
      <c r="B14" s="323" t="s">
        <v>459</v>
      </c>
      <c r="C14" s="149">
        <v>15488</v>
      </c>
      <c r="D14" s="149"/>
      <c r="E14" s="149">
        <f t="shared" si="0"/>
        <v>15488</v>
      </c>
      <c r="F14" s="149">
        <f t="shared" si="1"/>
        <v>0</v>
      </c>
      <c r="G14" s="149">
        <f t="shared" si="2"/>
        <v>15488</v>
      </c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91"/>
      <c r="W14" s="191">
        <f>G14</f>
        <v>15488</v>
      </c>
    </row>
    <row r="15" spans="1:23" s="24" customFormat="1" ht="15" thickBot="1" x14ac:dyDescent="0.35">
      <c r="A15" s="41" t="s">
        <v>46</v>
      </c>
      <c r="B15" s="58"/>
      <c r="C15" s="190">
        <f>SUM(C9:C14)</f>
        <v>527637</v>
      </c>
      <c r="D15" s="190">
        <f t="shared" ref="D15:G15" si="4">SUM(D9:D14)</f>
        <v>0</v>
      </c>
      <c r="E15" s="190">
        <f t="shared" si="4"/>
        <v>527637</v>
      </c>
      <c r="F15" s="190">
        <f t="shared" si="4"/>
        <v>343438</v>
      </c>
      <c r="G15" s="190">
        <f t="shared" si="4"/>
        <v>184198.99999999997</v>
      </c>
      <c r="H15" s="190">
        <f>SUM(H9:H14)</f>
        <v>0</v>
      </c>
      <c r="I15" s="190">
        <f t="shared" ref="I15:L15" si="5">SUM(I9:I14)</f>
        <v>5607.49</v>
      </c>
      <c r="J15" s="190">
        <f t="shared" si="5"/>
        <v>0</v>
      </c>
      <c r="K15" s="190">
        <f t="shared" si="5"/>
        <v>29637.34</v>
      </c>
      <c r="L15" s="190">
        <f t="shared" si="5"/>
        <v>0</v>
      </c>
      <c r="M15" s="190">
        <f t="shared" ref="M15" si="6">SUM(M9:M14)</f>
        <v>13609.740000000002</v>
      </c>
      <c r="N15" s="190">
        <f t="shared" ref="N15" si="7">SUM(N9:N14)</f>
        <v>5477.18</v>
      </c>
      <c r="O15" s="190">
        <f t="shared" ref="O15:P15" si="8">SUM(O9:O14)</f>
        <v>5777.57</v>
      </c>
      <c r="P15" s="190">
        <f t="shared" si="8"/>
        <v>7917.7</v>
      </c>
      <c r="Q15" s="190">
        <f t="shared" ref="Q15" si="9">SUM(Q9:Q14)</f>
        <v>24945.599999999999</v>
      </c>
      <c r="R15" s="190">
        <f t="shared" ref="R15" si="10">SUM(R9:R14)</f>
        <v>9676.25</v>
      </c>
      <c r="S15" s="190">
        <f t="shared" ref="S15:T15" si="11">SUM(S9:S14)</f>
        <v>8655.7800000000007</v>
      </c>
      <c r="T15" s="190">
        <f t="shared" si="11"/>
        <v>175085.28999999998</v>
      </c>
      <c r="U15" s="190"/>
      <c r="V15" s="190">
        <v>0</v>
      </c>
      <c r="W15" s="190">
        <v>0</v>
      </c>
    </row>
    <row r="16" spans="1:23" x14ac:dyDescent="0.3">
      <c r="C16" s="46">
        <v>528000</v>
      </c>
      <c r="D16" s="46"/>
      <c r="E16" s="46"/>
      <c r="F16" s="45" t="s">
        <v>33</v>
      </c>
      <c r="G16" s="326"/>
      <c r="H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3:21" x14ac:dyDescent="0.3">
      <c r="C17" s="46">
        <f>C15-C16</f>
        <v>-363</v>
      </c>
      <c r="D17" s="46"/>
      <c r="E17" s="46"/>
      <c r="G17" s="181"/>
      <c r="H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3:21" x14ac:dyDescent="0.3">
      <c r="C18" s="46"/>
      <c r="D18" s="46"/>
      <c r="E18" s="46"/>
      <c r="F18" s="165"/>
      <c r="H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3:21" x14ac:dyDescent="0.3">
      <c r="C19" s="46"/>
      <c r="D19" s="46"/>
      <c r="E19" s="46"/>
      <c r="H19" s="6"/>
      <c r="K19" s="46"/>
      <c r="L19" s="46"/>
      <c r="M19" s="46"/>
      <c r="N19" s="46"/>
      <c r="O19" s="46"/>
      <c r="P19" s="46"/>
      <c r="Q19" s="46"/>
      <c r="R19" s="46" t="s">
        <v>33</v>
      </c>
      <c r="S19" s="46"/>
      <c r="T19" s="46"/>
      <c r="U19" s="46"/>
    </row>
    <row r="20" spans="3:21" x14ac:dyDescent="0.3">
      <c r="C20" s="46"/>
      <c r="D20" s="46"/>
      <c r="E20" s="46"/>
      <c r="H20" s="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3:21" x14ac:dyDescent="0.3">
      <c r="C21" s="46"/>
      <c r="D21" s="46"/>
      <c r="E21" s="46"/>
      <c r="H21" s="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3:21" x14ac:dyDescent="0.3">
      <c r="C22" s="46"/>
      <c r="D22" s="46"/>
      <c r="E22" s="46"/>
      <c r="H22" s="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3:21" x14ac:dyDescent="0.3">
      <c r="C23" s="46"/>
      <c r="D23" s="46"/>
      <c r="E23" s="46"/>
      <c r="H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3:21" x14ac:dyDescent="0.3">
      <c r="C24" s="46"/>
      <c r="D24" s="46"/>
      <c r="E24" s="46"/>
      <c r="H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3:21" x14ac:dyDescent="0.3">
      <c r="C25" s="46"/>
      <c r="D25" s="46"/>
      <c r="E25" s="46"/>
      <c r="H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3:21" x14ac:dyDescent="0.3">
      <c r="C26" s="46"/>
      <c r="D26" s="46"/>
      <c r="E26" s="46"/>
      <c r="H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3:21" x14ac:dyDescent="0.3">
      <c r="C27" s="46"/>
      <c r="D27" s="46"/>
      <c r="E27" s="46"/>
      <c r="H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3:21" x14ac:dyDescent="0.3">
      <c r="C28" s="46"/>
      <c r="D28" s="46"/>
      <c r="E28" s="46"/>
      <c r="H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3:21" x14ac:dyDescent="0.3">
      <c r="C29" s="46"/>
      <c r="D29" s="46"/>
      <c r="E29" s="46"/>
      <c r="H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3:21" x14ac:dyDescent="0.3">
      <c r="H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3:21" x14ac:dyDescent="0.3">
      <c r="H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3:21" x14ac:dyDescent="0.3">
      <c r="H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8:21" x14ac:dyDescent="0.3">
      <c r="H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8:21" x14ac:dyDescent="0.3">
      <c r="H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8:21" x14ac:dyDescent="0.3">
      <c r="H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8:21" x14ac:dyDescent="0.3">
      <c r="H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8:21" x14ac:dyDescent="0.3">
      <c r="H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8:21" x14ac:dyDescent="0.3">
      <c r="H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8:21" x14ac:dyDescent="0.3">
      <c r="H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8:21" x14ac:dyDescent="0.3">
      <c r="H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8:21" x14ac:dyDescent="0.3">
      <c r="H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8:21" x14ac:dyDescent="0.3">
      <c r="H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8:21" x14ac:dyDescent="0.3">
      <c r="H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8:21" x14ac:dyDescent="0.3">
      <c r="H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8:21" x14ac:dyDescent="0.3">
      <c r="H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8:21" x14ac:dyDescent="0.3">
      <c r="H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8:21" x14ac:dyDescent="0.3">
      <c r="H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</sheetData>
  <sheetProtection algorithmName="SHA-512" hashValue="Vf8t3dODTonNeeZrGqj9toG+6eczEad2X1p+yqQuAR786aFlHDpj36mY8GyUJ80M1HjjQI3blJnpXG2t7EzkFA==" saltValue="E72n+25EtGX7ePxqRcB8iA==" spinCount="100000" sheet="1" objects="1" scenarios="1"/>
  <sortState xmlns:xlrd2="http://schemas.microsoft.com/office/spreadsheetml/2017/richdata2" ref="A9:G14">
    <sortCondition ref="A9"/>
  </sortState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2"/>
  </sheetPr>
  <dimension ref="A1:W12"/>
  <sheetViews>
    <sheetView zoomScale="70" zoomScaleNormal="70" workbookViewId="0">
      <selection activeCell="C11" sqref="C11"/>
    </sheetView>
  </sheetViews>
  <sheetFormatPr defaultColWidth="8.5546875" defaultRowHeight="14.4" x14ac:dyDescent="0.3"/>
  <cols>
    <col min="1" max="1" width="12.5546875" style="44" customWidth="1"/>
    <col min="2" max="2" width="30.44140625" style="44" customWidth="1"/>
    <col min="3" max="3" width="17.5546875" style="44" customWidth="1"/>
    <col min="4" max="4" width="16" style="44" bestFit="1" customWidth="1"/>
    <col min="5" max="5" width="16.5546875" style="44" bestFit="1" customWidth="1"/>
    <col min="6" max="6" width="13.44140625" style="44" customWidth="1"/>
    <col min="7" max="7" width="12.5546875" style="44" customWidth="1"/>
    <col min="8" max="8" width="15.33203125" style="44" customWidth="1"/>
    <col min="9" max="9" width="15" style="44" bestFit="1" customWidth="1"/>
    <col min="10" max="11" width="14.5546875" style="44" customWidth="1"/>
    <col min="12" max="15" width="12.5546875" style="44" customWidth="1"/>
    <col min="16" max="16" width="15.5546875" style="44" customWidth="1"/>
    <col min="17" max="17" width="14.33203125" style="44" customWidth="1"/>
    <col min="18" max="18" width="12.5546875" style="44" customWidth="1"/>
    <col min="19" max="19" width="14.5546875" style="44" customWidth="1"/>
    <col min="20" max="23" width="12.5546875" style="44" customWidth="1"/>
    <col min="24" max="16384" width="8.5546875" style="44"/>
  </cols>
  <sheetData>
    <row r="1" spans="1:23" ht="21" x14ac:dyDescent="0.4">
      <c r="A1" s="47" t="s">
        <v>0</v>
      </c>
      <c r="B1" s="53"/>
      <c r="C1" s="48" t="s">
        <v>423</v>
      </c>
      <c r="D1" s="47"/>
      <c r="E1" s="49"/>
      <c r="F1" s="47" t="str">
        <f>$C$1</f>
        <v>Colorado Multi-Tiered Behavioral Framework: School Climate Grant</v>
      </c>
      <c r="G1" s="47"/>
      <c r="H1" s="47"/>
      <c r="I1" s="47"/>
      <c r="J1" s="47"/>
      <c r="K1" s="47"/>
      <c r="L1" s="48"/>
      <c r="M1" s="48"/>
      <c r="N1" s="48"/>
      <c r="O1" s="47"/>
      <c r="P1" s="47"/>
      <c r="Q1" s="49"/>
      <c r="R1" s="47"/>
      <c r="S1" s="54"/>
      <c r="T1" s="54"/>
      <c r="U1" s="48"/>
      <c r="V1" s="48"/>
      <c r="W1" s="47"/>
    </row>
    <row r="2" spans="1:23" ht="21" x14ac:dyDescent="0.4">
      <c r="A2" s="47" t="s">
        <v>147</v>
      </c>
      <c r="B2" s="49"/>
      <c r="C2" s="47" t="s">
        <v>531</v>
      </c>
      <c r="D2" s="50"/>
      <c r="E2" s="9"/>
      <c r="F2" s="131"/>
      <c r="G2" s="52"/>
      <c r="H2" s="52"/>
      <c r="I2" s="52"/>
      <c r="J2" s="52"/>
      <c r="K2" s="52"/>
      <c r="L2" s="9"/>
      <c r="M2" s="9"/>
      <c r="N2" s="9"/>
      <c r="O2" s="52"/>
      <c r="P2" s="52"/>
      <c r="Q2" s="52"/>
      <c r="R2" s="131"/>
      <c r="S2" s="52"/>
      <c r="T2" s="52"/>
      <c r="U2" s="52"/>
      <c r="V2" s="52"/>
      <c r="W2" s="9"/>
    </row>
    <row r="3" spans="1:23" ht="15.6" x14ac:dyDescent="0.3">
      <c r="A3" s="50" t="s">
        <v>1</v>
      </c>
      <c r="B3" s="53"/>
      <c r="C3" s="51">
        <v>8174</v>
      </c>
      <c r="D3" s="50"/>
      <c r="E3" s="19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5.6" x14ac:dyDescent="0.3">
      <c r="A4" s="50" t="s">
        <v>2</v>
      </c>
      <c r="B4" s="53"/>
      <c r="C4" s="51" t="s">
        <v>495</v>
      </c>
      <c r="D4" s="50"/>
      <c r="E4" s="19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5.6" x14ac:dyDescent="0.3">
      <c r="A5" s="50" t="s">
        <v>19</v>
      </c>
      <c r="B5" s="53"/>
      <c r="C5" s="383" t="s">
        <v>678</v>
      </c>
      <c r="D5" s="50"/>
      <c r="E5" s="9"/>
      <c r="F5" s="52"/>
      <c r="G5" s="52"/>
      <c r="H5" s="52"/>
      <c r="I5" s="52"/>
      <c r="J5" s="52"/>
      <c r="K5" s="52"/>
      <c r="L5" s="9"/>
      <c r="M5" s="9"/>
      <c r="N5" s="9"/>
      <c r="O5" s="52"/>
      <c r="P5" s="52"/>
      <c r="Q5" s="52"/>
      <c r="R5" s="52"/>
      <c r="S5" s="52"/>
      <c r="T5" s="52"/>
      <c r="U5" s="52"/>
      <c r="V5" s="52"/>
      <c r="W5" s="52"/>
    </row>
    <row r="6" spans="1:23" ht="16.2" thickBot="1" x14ac:dyDescent="0.35">
      <c r="A6" s="50"/>
      <c r="B6" s="53"/>
      <c r="C6" s="50"/>
      <c r="D6" s="50"/>
      <c r="E6" s="9"/>
      <c r="F6" s="52"/>
      <c r="G6" s="52"/>
      <c r="H6" s="52"/>
      <c r="I6" s="52"/>
      <c r="J6" s="52"/>
      <c r="K6" s="52"/>
      <c r="L6" s="9"/>
      <c r="M6" s="9"/>
      <c r="N6" s="9"/>
      <c r="O6" s="52"/>
      <c r="P6" s="52"/>
      <c r="Q6" s="52"/>
      <c r="R6" s="52"/>
      <c r="S6" s="52"/>
      <c r="T6" s="52"/>
      <c r="U6" s="52"/>
      <c r="V6" s="52"/>
      <c r="W6" s="52"/>
    </row>
    <row r="7" spans="1:23" ht="45.6" customHeight="1" thickBot="1" x14ac:dyDescent="0.35">
      <c r="A7" s="127" t="s">
        <v>138</v>
      </c>
      <c r="B7" s="12" t="s">
        <v>132</v>
      </c>
      <c r="C7" s="12" t="s">
        <v>15</v>
      </c>
      <c r="D7" s="13" t="s">
        <v>16</v>
      </c>
      <c r="E7" s="29" t="s">
        <v>17</v>
      </c>
      <c r="F7" s="26">
        <v>44105</v>
      </c>
      <c r="G7" s="27">
        <v>44136</v>
      </c>
      <c r="H7" s="26">
        <v>44166</v>
      </c>
      <c r="I7" s="27">
        <v>44197</v>
      </c>
      <c r="J7" s="26">
        <v>44228</v>
      </c>
      <c r="K7" s="27">
        <v>44256</v>
      </c>
      <c r="L7" s="26">
        <v>44287</v>
      </c>
      <c r="M7" s="27">
        <v>44317</v>
      </c>
      <c r="N7" s="26">
        <v>44348</v>
      </c>
      <c r="O7" s="27">
        <v>44378</v>
      </c>
      <c r="P7" s="26">
        <v>44409</v>
      </c>
      <c r="Q7" s="27">
        <v>44440</v>
      </c>
      <c r="R7" s="26">
        <v>44470</v>
      </c>
      <c r="S7" s="27">
        <v>44501</v>
      </c>
      <c r="T7" s="26">
        <v>44531</v>
      </c>
      <c r="U7" s="27">
        <v>44562</v>
      </c>
      <c r="V7" s="26">
        <v>44593</v>
      </c>
      <c r="W7" s="27">
        <v>44621</v>
      </c>
    </row>
    <row r="8" spans="1:23" ht="22.5" customHeight="1" thickBot="1" x14ac:dyDescent="0.35">
      <c r="A8" s="105">
        <v>1450</v>
      </c>
      <c r="B8" s="106" t="s">
        <v>517</v>
      </c>
      <c r="C8" s="425">
        <v>90000</v>
      </c>
      <c r="D8" s="107">
        <f>SUM(F8:W8)</f>
        <v>0</v>
      </c>
      <c r="E8" s="260">
        <f>C8-D8</f>
        <v>90000</v>
      </c>
      <c r="F8" s="359"/>
      <c r="G8" s="359"/>
      <c r="H8" s="359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</row>
    <row r="9" spans="1:23" ht="27.75" customHeight="1" thickBot="1" x14ac:dyDescent="0.35">
      <c r="A9" s="70" t="s">
        <v>82</v>
      </c>
      <c r="B9" s="123" t="s">
        <v>83</v>
      </c>
      <c r="C9" s="425">
        <v>90000</v>
      </c>
      <c r="D9" s="260">
        <f>SUM(F9:W9)</f>
        <v>50890.99</v>
      </c>
      <c r="E9" s="260">
        <f>C9-D9</f>
        <v>39109.01</v>
      </c>
      <c r="F9" s="359">
        <v>15314.13</v>
      </c>
      <c r="G9" s="359">
        <v>3189</v>
      </c>
      <c r="H9" s="359">
        <v>10999.76</v>
      </c>
      <c r="I9" s="108"/>
      <c r="J9" s="321">
        <v>21388.1</v>
      </c>
      <c r="K9" s="108"/>
      <c r="L9" s="108"/>
      <c r="M9" s="108"/>
      <c r="N9" s="108"/>
      <c r="O9" s="108"/>
      <c r="P9" s="321"/>
      <c r="Q9" s="321"/>
      <c r="R9" s="321"/>
      <c r="S9" s="321"/>
      <c r="T9" s="321"/>
      <c r="U9" s="321"/>
      <c r="V9" s="321"/>
      <c r="W9" s="321"/>
    </row>
    <row r="10" spans="1:23" ht="36" customHeight="1" thickBot="1" x14ac:dyDescent="0.35">
      <c r="A10" s="124" t="s">
        <v>337</v>
      </c>
      <c r="B10" s="123" t="s">
        <v>350</v>
      </c>
      <c r="C10" s="425">
        <v>90000</v>
      </c>
      <c r="D10" s="260">
        <f>SUM(F10:W10)</f>
        <v>49740.11</v>
      </c>
      <c r="E10" s="260">
        <f>C10-D10</f>
        <v>40259.89</v>
      </c>
      <c r="F10" s="360"/>
      <c r="G10" s="359"/>
      <c r="H10" s="359">
        <v>19937.419999999998</v>
      </c>
      <c r="I10" s="362">
        <v>29802.69</v>
      </c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321"/>
      <c r="V10" s="321"/>
      <c r="W10" s="321"/>
    </row>
    <row r="11" spans="1:23" ht="35.85" customHeight="1" thickBot="1" x14ac:dyDescent="0.35">
      <c r="A11" s="70" t="s">
        <v>518</v>
      </c>
      <c r="B11" s="123" t="s">
        <v>519</v>
      </c>
      <c r="C11" s="425">
        <v>90000</v>
      </c>
      <c r="D11" s="260">
        <f>SUM(F11:W11)</f>
        <v>27765.5</v>
      </c>
      <c r="E11" s="260">
        <f>C11-D11</f>
        <v>62234.5</v>
      </c>
      <c r="F11" s="359">
        <v>27765.5</v>
      </c>
      <c r="G11" s="359"/>
      <c r="H11" s="359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</row>
    <row r="12" spans="1:23" s="14" customFormat="1" ht="15" thickBot="1" x14ac:dyDescent="0.35">
      <c r="A12" s="72" t="s">
        <v>46</v>
      </c>
      <c r="B12" s="42"/>
      <c r="C12" s="73">
        <f>SUM(C8:C11)</f>
        <v>360000</v>
      </c>
      <c r="D12" s="261">
        <f>SUM(D8:D11)</f>
        <v>128396.6</v>
      </c>
      <c r="E12" s="261">
        <f>SUM(E8:E11)</f>
        <v>231603.40000000002</v>
      </c>
      <c r="F12" s="361">
        <f t="shared" ref="F12:K12" si="0">SUM(F8:F10)</f>
        <v>15314.13</v>
      </c>
      <c r="G12" s="361">
        <f t="shared" si="0"/>
        <v>3189</v>
      </c>
      <c r="H12" s="361">
        <f t="shared" si="0"/>
        <v>30937.18</v>
      </c>
      <c r="I12" s="261">
        <f t="shared" si="0"/>
        <v>29802.69</v>
      </c>
      <c r="J12" s="261">
        <f t="shared" si="0"/>
        <v>21388.1</v>
      </c>
      <c r="K12" s="73">
        <f t="shared" si="0"/>
        <v>0</v>
      </c>
      <c r="L12" s="73">
        <f t="shared" ref="L12:W12" si="1">SUM(L8:L10)</f>
        <v>0</v>
      </c>
      <c r="M12" s="73">
        <f t="shared" si="1"/>
        <v>0</v>
      </c>
      <c r="N12" s="73">
        <f t="shared" si="1"/>
        <v>0</v>
      </c>
      <c r="O12" s="73">
        <f t="shared" si="1"/>
        <v>0</v>
      </c>
      <c r="P12" s="261">
        <f t="shared" si="1"/>
        <v>0</v>
      </c>
      <c r="Q12" s="261">
        <f t="shared" si="1"/>
        <v>0</v>
      </c>
      <c r="R12" s="261">
        <f t="shared" si="1"/>
        <v>0</v>
      </c>
      <c r="S12" s="261">
        <f t="shared" si="1"/>
        <v>0</v>
      </c>
      <c r="T12" s="73">
        <f t="shared" si="1"/>
        <v>0</v>
      </c>
      <c r="U12" s="73">
        <f t="shared" si="1"/>
        <v>0</v>
      </c>
      <c r="V12" s="73">
        <f t="shared" si="1"/>
        <v>0</v>
      </c>
      <c r="W12" s="73">
        <f t="shared" si="1"/>
        <v>0</v>
      </c>
    </row>
  </sheetData>
  <sheetProtection algorithmName="SHA-512" hashValue="JqAYNX8xistikrCXjv7+rv2sA1T567eUCLVVbKykyuZ0zHSEwdE/1iNzaNsmdqkKtWw9LQ21sBFNi23I9vxceA==" saltValue="F3YNDNX/vlcsHW3w5rVtlQ==" spinCount="100000" sheet="1" objects="1" scenarios="1"/>
  <hyperlinks>
    <hyperlink ref="C5" r:id="rId1" xr:uid="{C9FEDDC5-D3EE-43BD-AF2A-39D3739FF8EF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5E7ED-28A9-4393-A2F7-0CA20441D383}">
  <sheetPr codeName="Sheet2">
    <tabColor theme="2"/>
  </sheetPr>
  <dimension ref="A1:Z53"/>
  <sheetViews>
    <sheetView topLeftCell="B1" zoomScale="70" zoomScaleNormal="70" workbookViewId="0">
      <selection activeCell="Q14" sqref="Q14"/>
    </sheetView>
  </sheetViews>
  <sheetFormatPr defaultColWidth="8.5546875" defaultRowHeight="14.4" x14ac:dyDescent="0.3"/>
  <cols>
    <col min="1" max="1" width="12.5546875" style="44" customWidth="1"/>
    <col min="2" max="2" width="54" style="44" bestFit="1" customWidth="1"/>
    <col min="3" max="3" width="20.44140625" style="44" customWidth="1"/>
    <col min="4" max="4" width="14.5546875" style="44" customWidth="1"/>
    <col min="5" max="22" width="16.5546875" style="44" customWidth="1"/>
    <col min="23" max="23" width="14.5546875" style="44" customWidth="1"/>
    <col min="24" max="24" width="12.5546875" style="44" customWidth="1"/>
    <col min="25" max="26" width="21.44140625" style="44" customWidth="1"/>
    <col min="27" max="16384" width="8.5546875" style="44"/>
  </cols>
  <sheetData>
    <row r="1" spans="1:26" ht="21" x14ac:dyDescent="0.4">
      <c r="A1" s="47" t="s">
        <v>0</v>
      </c>
      <c r="B1" s="53"/>
      <c r="C1" s="48" t="s">
        <v>494</v>
      </c>
      <c r="D1" s="47"/>
      <c r="E1" s="49"/>
      <c r="F1" s="48"/>
      <c r="G1" s="48"/>
      <c r="H1" s="48"/>
      <c r="I1" s="47"/>
      <c r="J1" s="47"/>
      <c r="K1" s="49"/>
      <c r="L1" s="47" t="str">
        <f>$C$1</f>
        <v>Colorado Multi-Tiered Behavioral Framework: Mini-Grant</v>
      </c>
      <c r="M1" s="54"/>
      <c r="N1" s="54"/>
      <c r="O1" s="48"/>
      <c r="P1" s="48"/>
      <c r="Q1" s="47"/>
      <c r="R1" s="47" t="str">
        <f>$C$1</f>
        <v>Colorado Multi-Tiered Behavioral Framework: Mini-Grant</v>
      </c>
      <c r="S1" s="47"/>
      <c r="T1" s="47"/>
      <c r="U1" s="47"/>
      <c r="V1" s="47"/>
      <c r="W1" s="47"/>
      <c r="X1" s="47"/>
      <c r="Y1" s="47"/>
      <c r="Z1" s="47"/>
    </row>
    <row r="2" spans="1:26" ht="21" x14ac:dyDescent="0.4">
      <c r="A2" s="47" t="s">
        <v>147</v>
      </c>
      <c r="B2" s="49"/>
      <c r="C2" s="47" t="s">
        <v>424</v>
      </c>
      <c r="D2" s="50"/>
      <c r="E2" s="9"/>
      <c r="F2" s="9"/>
      <c r="G2" s="9"/>
      <c r="H2" s="9"/>
      <c r="I2" s="52"/>
      <c r="J2" s="52"/>
      <c r="K2" s="52"/>
      <c r="L2" s="131"/>
      <c r="M2" s="52"/>
      <c r="N2" s="9" t="str">
        <f>$C$4</f>
        <v>2020-21</v>
      </c>
      <c r="O2" s="9"/>
      <c r="P2" s="9"/>
      <c r="Q2" s="9"/>
      <c r="R2" s="131"/>
      <c r="S2" s="9"/>
      <c r="T2" s="9" t="str">
        <f>$C$4</f>
        <v>2020-21</v>
      </c>
      <c r="U2" s="52"/>
      <c r="V2" s="52"/>
      <c r="W2" s="52"/>
      <c r="X2" s="52"/>
      <c r="Y2" s="47"/>
      <c r="Z2" s="47"/>
    </row>
    <row r="3" spans="1:26" ht="15.6" x14ac:dyDescent="0.3">
      <c r="A3" s="50" t="s">
        <v>1</v>
      </c>
      <c r="B3" s="53"/>
      <c r="C3" s="51">
        <v>8174</v>
      </c>
      <c r="D3" s="50"/>
      <c r="E3" s="19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5.6" x14ac:dyDescent="0.3">
      <c r="A4" s="50" t="s">
        <v>2</v>
      </c>
      <c r="B4" s="53"/>
      <c r="C4" s="51" t="s">
        <v>495</v>
      </c>
      <c r="D4" s="50"/>
      <c r="E4" s="19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5.6" x14ac:dyDescent="0.3">
      <c r="A5" s="50" t="s">
        <v>19</v>
      </c>
      <c r="B5" s="53"/>
      <c r="C5" s="383" t="s">
        <v>678</v>
      </c>
      <c r="D5" s="50"/>
      <c r="E5" s="9"/>
      <c r="F5" s="9"/>
      <c r="G5" s="9"/>
      <c r="H5" s="9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6.2" thickBot="1" x14ac:dyDescent="0.35">
      <c r="A6" s="50"/>
      <c r="B6" s="53"/>
      <c r="C6" s="50"/>
      <c r="D6" s="50"/>
      <c r="E6" s="9"/>
      <c r="F6" s="9"/>
      <c r="G6" s="9"/>
      <c r="H6" s="9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45.6" customHeight="1" thickBot="1" x14ac:dyDescent="0.35">
      <c r="A7" s="127" t="s">
        <v>138</v>
      </c>
      <c r="B7" s="12" t="s">
        <v>132</v>
      </c>
      <c r="C7" s="12" t="s">
        <v>15</v>
      </c>
      <c r="D7" s="13" t="s">
        <v>16</v>
      </c>
      <c r="E7" s="29" t="s">
        <v>17</v>
      </c>
      <c r="F7" s="26" t="s">
        <v>238</v>
      </c>
      <c r="G7" s="27" t="s">
        <v>239</v>
      </c>
      <c r="H7" s="26" t="s">
        <v>240</v>
      </c>
      <c r="I7" s="27" t="s">
        <v>400</v>
      </c>
      <c r="J7" s="26" t="s">
        <v>401</v>
      </c>
      <c r="K7" s="27" t="s">
        <v>466</v>
      </c>
      <c r="L7" s="27" t="s">
        <v>496</v>
      </c>
      <c r="M7" s="27" t="s">
        <v>497</v>
      </c>
      <c r="N7" s="27" t="s">
        <v>498</v>
      </c>
      <c r="O7" s="27" t="s">
        <v>499</v>
      </c>
      <c r="P7" s="27" t="s">
        <v>500</v>
      </c>
      <c r="Q7" s="27" t="s">
        <v>501</v>
      </c>
      <c r="R7" s="26" t="s">
        <v>502</v>
      </c>
      <c r="S7" s="27" t="s">
        <v>503</v>
      </c>
      <c r="T7" s="27" t="s">
        <v>504</v>
      </c>
      <c r="U7" s="27" t="s">
        <v>505</v>
      </c>
      <c r="V7" s="26" t="s">
        <v>506</v>
      </c>
      <c r="W7" s="27" t="s">
        <v>510</v>
      </c>
      <c r="X7" s="12" t="s">
        <v>157</v>
      </c>
      <c r="Y7" s="12" t="s">
        <v>157</v>
      </c>
      <c r="Z7" s="12" t="s">
        <v>158</v>
      </c>
    </row>
    <row r="8" spans="1:26" ht="19.5" customHeight="1" thickBot="1" x14ac:dyDescent="0.35">
      <c r="A8" s="351">
        <v>180</v>
      </c>
      <c r="B8" s="106" t="s">
        <v>91</v>
      </c>
      <c r="C8" s="349">
        <v>29500</v>
      </c>
      <c r="D8" s="107">
        <f>SUM(F8:W8)</f>
        <v>0</v>
      </c>
      <c r="E8" s="349">
        <f>SUM(C8-D8)</f>
        <v>29500</v>
      </c>
      <c r="F8" s="353"/>
      <c r="G8" s="353"/>
      <c r="H8" s="353"/>
      <c r="I8" s="353"/>
      <c r="J8" s="353"/>
      <c r="K8" s="353"/>
      <c r="L8" s="353"/>
      <c r="M8" s="353"/>
      <c r="N8" s="354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21"/>
      <c r="Z8" s="21"/>
    </row>
    <row r="9" spans="1:26" ht="22.5" customHeight="1" thickBot="1" x14ac:dyDescent="0.35">
      <c r="A9" s="70" t="s">
        <v>51</v>
      </c>
      <c r="B9" s="123" t="s">
        <v>27</v>
      </c>
      <c r="C9" s="349">
        <v>20000</v>
      </c>
      <c r="D9" s="107">
        <f t="shared" ref="D9:D19" si="0">SUM(F9:W9)</f>
        <v>0</v>
      </c>
      <c r="E9" s="349">
        <f t="shared" ref="E9:E19" si="1">SUM(C9-D9)</f>
        <v>20000</v>
      </c>
      <c r="F9" s="353"/>
      <c r="G9" s="353"/>
      <c r="H9" s="353"/>
      <c r="I9" s="353"/>
      <c r="J9" s="355"/>
      <c r="K9" s="355"/>
      <c r="L9" s="355"/>
      <c r="M9" s="355"/>
      <c r="N9" s="355"/>
      <c r="O9" s="355"/>
      <c r="P9" s="355"/>
      <c r="Q9" s="355"/>
      <c r="R9" s="353"/>
      <c r="S9" s="353"/>
      <c r="T9" s="353"/>
      <c r="U9" s="353"/>
      <c r="V9" s="353"/>
      <c r="W9" s="353"/>
      <c r="X9" s="353"/>
      <c r="Y9" s="21"/>
      <c r="Z9" s="21"/>
    </row>
    <row r="10" spans="1:26" ht="15" thickBot="1" x14ac:dyDescent="0.35">
      <c r="A10" s="124" t="s">
        <v>520</v>
      </c>
      <c r="B10" s="123" t="s">
        <v>521</v>
      </c>
      <c r="C10" s="349">
        <v>20000</v>
      </c>
      <c r="D10" s="107">
        <f t="shared" si="0"/>
        <v>0</v>
      </c>
      <c r="E10" s="349">
        <f t="shared" si="1"/>
        <v>20000</v>
      </c>
      <c r="F10" s="353"/>
      <c r="G10" s="353"/>
      <c r="H10" s="353"/>
      <c r="I10" s="353"/>
      <c r="J10" s="353"/>
      <c r="K10" s="353"/>
      <c r="L10" s="353"/>
      <c r="M10" s="353"/>
      <c r="N10" s="353"/>
      <c r="O10" s="355"/>
      <c r="P10" s="355"/>
      <c r="Q10" s="355"/>
      <c r="R10" s="356"/>
      <c r="S10" s="353"/>
      <c r="T10" s="353"/>
      <c r="U10" s="353"/>
      <c r="V10" s="353"/>
      <c r="W10" s="353"/>
      <c r="X10" s="353"/>
      <c r="Y10" s="21"/>
      <c r="Z10" s="21"/>
    </row>
    <row r="11" spans="1:26" ht="15" thickBot="1" x14ac:dyDescent="0.35">
      <c r="A11" s="70" t="s">
        <v>522</v>
      </c>
      <c r="B11" s="123" t="s">
        <v>523</v>
      </c>
      <c r="C11" s="350">
        <v>20000</v>
      </c>
      <c r="D11" s="107">
        <f t="shared" si="0"/>
        <v>0</v>
      </c>
      <c r="E11" s="349">
        <f t="shared" si="1"/>
        <v>20000</v>
      </c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75"/>
      <c r="Z11" s="75"/>
    </row>
    <row r="12" spans="1:26" ht="15" thickBot="1" x14ac:dyDescent="0.35">
      <c r="A12" s="70" t="s">
        <v>40</v>
      </c>
      <c r="B12" s="123" t="s">
        <v>81</v>
      </c>
      <c r="C12" s="350">
        <v>20000</v>
      </c>
      <c r="D12" s="107">
        <f t="shared" si="0"/>
        <v>0</v>
      </c>
      <c r="E12" s="349">
        <f t="shared" si="1"/>
        <v>20000</v>
      </c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75"/>
      <c r="Z12" s="75"/>
    </row>
    <row r="13" spans="1:26" ht="15" thickBot="1" x14ac:dyDescent="0.35">
      <c r="A13" s="70" t="s">
        <v>82</v>
      </c>
      <c r="B13" s="123" t="s">
        <v>83</v>
      </c>
      <c r="C13" s="350">
        <v>20000</v>
      </c>
      <c r="D13" s="107">
        <f t="shared" si="0"/>
        <v>0</v>
      </c>
      <c r="E13" s="349">
        <f t="shared" si="1"/>
        <v>20000</v>
      </c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75"/>
      <c r="Z13" s="75"/>
    </row>
    <row r="14" spans="1:26" ht="20.85" customHeight="1" thickBot="1" x14ac:dyDescent="0.35">
      <c r="A14" s="70" t="s">
        <v>524</v>
      </c>
      <c r="B14" s="123" t="s">
        <v>525</v>
      </c>
      <c r="C14" s="350">
        <v>20000</v>
      </c>
      <c r="D14" s="107">
        <f t="shared" si="0"/>
        <v>0</v>
      </c>
      <c r="E14" s="349">
        <f t="shared" si="1"/>
        <v>20000</v>
      </c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75"/>
      <c r="Z14" s="75"/>
    </row>
    <row r="15" spans="1:26" ht="15" thickBot="1" x14ac:dyDescent="0.35">
      <c r="A15" s="70" t="s">
        <v>526</v>
      </c>
      <c r="B15" s="123" t="s">
        <v>527</v>
      </c>
      <c r="C15" s="350">
        <v>29500</v>
      </c>
      <c r="D15" s="107">
        <f t="shared" si="0"/>
        <v>0</v>
      </c>
      <c r="E15" s="349">
        <f t="shared" si="1"/>
        <v>29500</v>
      </c>
      <c r="F15" s="353"/>
      <c r="G15" s="353"/>
      <c r="H15" s="353"/>
      <c r="I15" s="353"/>
      <c r="J15" s="353"/>
      <c r="K15" s="353"/>
      <c r="L15" s="353"/>
      <c r="M15" s="354"/>
      <c r="N15" s="353"/>
      <c r="O15" s="354"/>
      <c r="P15" s="354"/>
      <c r="Q15" s="354"/>
      <c r="R15" s="353"/>
      <c r="S15" s="353"/>
      <c r="T15" s="353"/>
      <c r="U15" s="353"/>
      <c r="V15" s="353"/>
      <c r="W15" s="353"/>
      <c r="X15" s="353"/>
      <c r="Y15" s="75"/>
      <c r="Z15" s="75"/>
    </row>
    <row r="16" spans="1:26" ht="15" thickBot="1" x14ac:dyDescent="0.35">
      <c r="A16" s="70" t="s">
        <v>337</v>
      </c>
      <c r="B16" s="123" t="s">
        <v>350</v>
      </c>
      <c r="C16" s="350">
        <v>29500</v>
      </c>
      <c r="D16" s="107">
        <f t="shared" si="0"/>
        <v>0</v>
      </c>
      <c r="E16" s="349">
        <f t="shared" si="1"/>
        <v>29500</v>
      </c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75"/>
      <c r="Z16" s="75"/>
    </row>
    <row r="17" spans="1:26" ht="15" thickBot="1" x14ac:dyDescent="0.35">
      <c r="A17" s="70" t="s">
        <v>112</v>
      </c>
      <c r="B17" s="123" t="s">
        <v>351</v>
      </c>
      <c r="C17" s="350">
        <v>29500</v>
      </c>
      <c r="D17" s="107">
        <f t="shared" si="0"/>
        <v>0</v>
      </c>
      <c r="E17" s="349">
        <f t="shared" si="1"/>
        <v>29500</v>
      </c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75"/>
      <c r="Z17" s="75"/>
    </row>
    <row r="18" spans="1:26" ht="15" thickBot="1" x14ac:dyDescent="0.35">
      <c r="A18" s="70" t="s">
        <v>113</v>
      </c>
      <c r="B18" s="123" t="s">
        <v>353</v>
      </c>
      <c r="C18" s="350">
        <v>29500</v>
      </c>
      <c r="D18" s="107">
        <f t="shared" si="0"/>
        <v>0</v>
      </c>
      <c r="E18" s="349">
        <f t="shared" si="1"/>
        <v>29500</v>
      </c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75"/>
      <c r="Z18" s="75"/>
    </row>
    <row r="19" spans="1:26" ht="15" thickBot="1" x14ac:dyDescent="0.35">
      <c r="A19" s="70" t="s">
        <v>518</v>
      </c>
      <c r="B19" s="123" t="s">
        <v>519</v>
      </c>
      <c r="C19" s="350">
        <v>20000</v>
      </c>
      <c r="D19" s="107">
        <f t="shared" si="0"/>
        <v>0</v>
      </c>
      <c r="E19" s="349">
        <f t="shared" si="1"/>
        <v>20000</v>
      </c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75"/>
      <c r="Z19" s="75"/>
    </row>
    <row r="20" spans="1:26" s="14" customFormat="1" ht="15" thickBot="1" x14ac:dyDescent="0.35">
      <c r="A20" s="72" t="s">
        <v>54</v>
      </c>
      <c r="B20" s="42" t="s">
        <v>192</v>
      </c>
      <c r="C20" s="352">
        <v>29500</v>
      </c>
      <c r="D20" s="261">
        <f>SUM(D8:D19)</f>
        <v>0</v>
      </c>
      <c r="E20" s="261">
        <f>SUM(E8:E19)</f>
        <v>287500</v>
      </c>
      <c r="F20" s="73">
        <f t="shared" ref="F20:L20" si="2">SUM(F8:F10)</f>
        <v>0</v>
      </c>
      <c r="G20" s="73">
        <f t="shared" si="2"/>
        <v>0</v>
      </c>
      <c r="H20" s="73">
        <f t="shared" si="2"/>
        <v>0</v>
      </c>
      <c r="I20" s="73">
        <f t="shared" si="2"/>
        <v>0</v>
      </c>
      <c r="J20" s="261">
        <f t="shared" si="2"/>
        <v>0</v>
      </c>
      <c r="K20" s="261">
        <f t="shared" si="2"/>
        <v>0</v>
      </c>
      <c r="L20" s="261">
        <f t="shared" si="2"/>
        <v>0</v>
      </c>
      <c r="M20" s="261">
        <f>SUM(M8:M19)</f>
        <v>0</v>
      </c>
      <c r="N20" s="261">
        <f t="shared" ref="N20:W20" si="3">SUM(N8:N19)</f>
        <v>0</v>
      </c>
      <c r="O20" s="261">
        <f t="shared" si="3"/>
        <v>0</v>
      </c>
      <c r="P20" s="261">
        <f t="shared" si="3"/>
        <v>0</v>
      </c>
      <c r="Q20" s="261">
        <f t="shared" si="3"/>
        <v>0</v>
      </c>
      <c r="R20" s="261">
        <f t="shared" si="3"/>
        <v>0</v>
      </c>
      <c r="S20" s="261">
        <f t="shared" si="3"/>
        <v>0</v>
      </c>
      <c r="T20" s="261">
        <f t="shared" si="3"/>
        <v>0</v>
      </c>
      <c r="U20" s="261">
        <f t="shared" si="3"/>
        <v>0</v>
      </c>
      <c r="V20" s="261">
        <f t="shared" si="3"/>
        <v>0</v>
      </c>
      <c r="W20" s="261">
        <f t="shared" si="3"/>
        <v>0</v>
      </c>
      <c r="X20" s="73">
        <f>SUM(X8:X10)</f>
        <v>0</v>
      </c>
      <c r="Y20" s="73">
        <f>SUM(Y8:Y10)</f>
        <v>0</v>
      </c>
      <c r="Z20" s="73">
        <f>SUM(Z8:Z10)</f>
        <v>0</v>
      </c>
    </row>
    <row r="23" spans="1:26" x14ac:dyDescent="0.3">
      <c r="Y23" s="75"/>
      <c r="Z23" s="75"/>
    </row>
    <row r="25" spans="1:26" x14ac:dyDescent="0.3">
      <c r="Y25" s="75"/>
      <c r="Z25" s="75"/>
    </row>
    <row r="29" spans="1:26" x14ac:dyDescent="0.3">
      <c r="Y29" s="75"/>
      <c r="Z29" s="75"/>
    </row>
    <row r="30" spans="1:26" x14ac:dyDescent="0.3">
      <c r="Y30" s="75"/>
      <c r="Z30" s="75"/>
    </row>
    <row r="36" spans="25:26" x14ac:dyDescent="0.3">
      <c r="Y36" s="75"/>
      <c r="Z36" s="75"/>
    </row>
    <row r="39" spans="25:26" x14ac:dyDescent="0.3">
      <c r="Y39" s="45"/>
      <c r="Z39" s="45"/>
    </row>
    <row r="40" spans="25:26" x14ac:dyDescent="0.3">
      <c r="Y40" s="30"/>
      <c r="Z40" s="30"/>
    </row>
    <row r="41" spans="25:26" x14ac:dyDescent="0.3">
      <c r="Y41" s="30"/>
      <c r="Z41" s="30"/>
    </row>
    <row r="42" spans="25:26" x14ac:dyDescent="0.3">
      <c r="Y42" s="30"/>
      <c r="Z42" s="30"/>
    </row>
    <row r="43" spans="25:26" x14ac:dyDescent="0.3">
      <c r="Y43" s="30"/>
      <c r="Z43" s="30"/>
    </row>
    <row r="44" spans="25:26" x14ac:dyDescent="0.3">
      <c r="Y44" s="30"/>
      <c r="Z44" s="30"/>
    </row>
    <row r="45" spans="25:26" x14ac:dyDescent="0.3">
      <c r="Y45" s="30"/>
      <c r="Z45" s="30"/>
    </row>
    <row r="46" spans="25:26" x14ac:dyDescent="0.3">
      <c r="Y46" s="30"/>
      <c r="Z46" s="30"/>
    </row>
    <row r="47" spans="25:26" x14ac:dyDescent="0.3">
      <c r="Y47" s="30"/>
      <c r="Z47" s="30"/>
    </row>
    <row r="48" spans="25:26" x14ac:dyDescent="0.3">
      <c r="Y48" s="30"/>
      <c r="Z48" s="30"/>
    </row>
    <row r="49" spans="25:26" x14ac:dyDescent="0.3">
      <c r="Y49" s="30"/>
      <c r="Z49" s="30"/>
    </row>
    <row r="50" spans="25:26" x14ac:dyDescent="0.3">
      <c r="Y50" s="30"/>
      <c r="Z50" s="30"/>
    </row>
    <row r="51" spans="25:26" x14ac:dyDescent="0.3">
      <c r="Y51" s="30"/>
      <c r="Z51" s="30"/>
    </row>
    <row r="52" spans="25:26" x14ac:dyDescent="0.3">
      <c r="Y52" s="30"/>
      <c r="Z52" s="30"/>
    </row>
    <row r="53" spans="25:26" x14ac:dyDescent="0.3">
      <c r="Y53" s="30"/>
      <c r="Z53" s="30"/>
    </row>
  </sheetData>
  <sheetProtection algorithmName="SHA-512" hashValue="A1ZK47OsfWnU3g17RspcbP/U/A/MoGEsKAaQIfreVS8LITh47nfgw4qdrbRSBJiE/S66UXf2caJX1rzZqCnUkw==" saltValue="XIecCIUegOzGaBfMpu5uQg==" spinCount="100000" sheet="1" objects="1" scenarios="1"/>
  <hyperlinks>
    <hyperlink ref="C5" r:id="rId1" xr:uid="{B7B49A65-D6BC-4A08-96F4-7C1E1286EE83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2"/>
  </sheetPr>
  <dimension ref="A1:AH131"/>
  <sheetViews>
    <sheetView zoomScale="80" zoomScaleNormal="80" workbookViewId="0">
      <pane xSplit="5" ySplit="8" topLeftCell="P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Q11" sqref="Q11:Q14"/>
    </sheetView>
  </sheetViews>
  <sheetFormatPr defaultColWidth="9.44140625" defaultRowHeight="14.4" x14ac:dyDescent="0.3"/>
  <cols>
    <col min="1" max="1" width="19.44140625" style="2" customWidth="1"/>
    <col min="2" max="2" width="43.44140625" style="172" customWidth="1"/>
    <col min="3" max="3" width="17.5546875" style="45" customWidth="1"/>
    <col min="4" max="4" width="16.5546875" style="45" customWidth="1"/>
    <col min="5" max="5" width="14" style="45" customWidth="1"/>
    <col min="6" max="25" width="15.5546875" style="4" customWidth="1"/>
    <col min="26" max="16384" width="9.44140625" style="45"/>
  </cols>
  <sheetData>
    <row r="1" spans="1:34" ht="21" x14ac:dyDescent="0.4">
      <c r="A1" s="47" t="s">
        <v>0</v>
      </c>
      <c r="B1" s="80"/>
      <c r="C1" s="48" t="s">
        <v>20</v>
      </c>
      <c r="D1" s="47"/>
      <c r="E1" s="49"/>
      <c r="F1" s="54"/>
      <c r="G1" s="54"/>
      <c r="H1" s="48"/>
      <c r="I1" s="48"/>
      <c r="J1" s="48"/>
      <c r="K1" s="47"/>
      <c r="L1" s="47" t="str">
        <f>$C$1</f>
        <v xml:space="preserve">Adult Education </v>
      </c>
      <c r="M1" s="49"/>
      <c r="N1" s="49"/>
      <c r="O1" s="54"/>
      <c r="P1" s="54"/>
      <c r="Q1" s="48"/>
      <c r="R1" s="47" t="str">
        <f>$C$1</f>
        <v xml:space="preserve">Adult Education </v>
      </c>
      <c r="S1" s="47"/>
      <c r="T1" s="47"/>
      <c r="U1" s="48"/>
      <c r="V1" s="48"/>
      <c r="W1" s="48"/>
      <c r="X1" s="48"/>
      <c r="Y1" s="48"/>
    </row>
    <row r="2" spans="1:34" s="3" customFormat="1" ht="21" x14ac:dyDescent="0.4">
      <c r="A2" s="47" t="s">
        <v>147</v>
      </c>
      <c r="B2" s="170"/>
      <c r="C2" s="47" t="s">
        <v>150</v>
      </c>
      <c r="D2" s="47" t="s">
        <v>666</v>
      </c>
      <c r="E2" s="126"/>
      <c r="F2" s="126"/>
      <c r="G2" s="126"/>
      <c r="H2" s="126"/>
      <c r="I2" s="126"/>
      <c r="J2" s="126"/>
      <c r="K2" s="15"/>
      <c r="L2" s="128" t="str">
        <f>"FY"&amp;$C$4</f>
        <v>FY2020-21</v>
      </c>
      <c r="M2" s="15"/>
      <c r="N2" s="15"/>
      <c r="O2" s="15"/>
      <c r="P2" s="15"/>
      <c r="Q2" s="15"/>
      <c r="R2" s="128" t="str">
        <f>"FY"&amp;$C$4</f>
        <v>FY2020-21</v>
      </c>
      <c r="S2" s="15"/>
      <c r="T2" s="15"/>
      <c r="U2" s="126"/>
      <c r="V2" s="126"/>
      <c r="W2" s="126"/>
      <c r="X2" s="126"/>
      <c r="Y2" s="126"/>
    </row>
    <row r="3" spans="1:34" ht="15.6" x14ac:dyDescent="0.3">
      <c r="A3" s="50" t="s">
        <v>1</v>
      </c>
      <c r="B3" s="80"/>
      <c r="C3" s="51">
        <v>5002</v>
      </c>
      <c r="D3" s="50" t="s">
        <v>667</v>
      </c>
      <c r="E3" s="19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34" ht="15.6" x14ac:dyDescent="0.3">
      <c r="A4" s="50" t="s">
        <v>2</v>
      </c>
      <c r="B4" s="80"/>
      <c r="C4" s="51" t="s">
        <v>495</v>
      </c>
      <c r="D4" s="50"/>
      <c r="E4" s="19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34" ht="15.6" x14ac:dyDescent="0.3">
      <c r="A5" s="50" t="s">
        <v>469</v>
      </c>
      <c r="B5" s="80"/>
      <c r="C5" s="383" t="s">
        <v>678</v>
      </c>
      <c r="D5" s="50"/>
      <c r="E5" s="9"/>
      <c r="F5" s="9"/>
      <c r="G5" s="9"/>
      <c r="H5" s="9"/>
      <c r="I5" s="9"/>
      <c r="J5" s="9"/>
      <c r="K5" s="52"/>
      <c r="L5" s="52"/>
      <c r="M5" s="52"/>
      <c r="N5" s="52"/>
      <c r="O5" s="52"/>
      <c r="P5" s="52"/>
      <c r="Q5" s="52"/>
      <c r="R5" s="52"/>
      <c r="S5" s="52"/>
      <c r="T5" s="52"/>
      <c r="U5" s="9"/>
      <c r="V5" s="9"/>
      <c r="W5" s="9"/>
      <c r="X5" s="9"/>
      <c r="Y5" s="9"/>
    </row>
    <row r="6" spans="1:34" ht="15.6" x14ac:dyDescent="0.3">
      <c r="A6" s="50"/>
      <c r="B6" s="80"/>
      <c r="C6" s="67"/>
      <c r="D6" s="50"/>
      <c r="E6" s="9"/>
      <c r="F6" s="9"/>
      <c r="G6" s="9"/>
      <c r="H6" s="9"/>
      <c r="I6" s="9"/>
      <c r="J6" s="9"/>
      <c r="K6" s="52"/>
      <c r="L6" s="52"/>
      <c r="M6" s="52"/>
      <c r="N6" s="52"/>
      <c r="O6" s="52"/>
      <c r="P6" s="52"/>
      <c r="Q6" s="52"/>
      <c r="R6" s="52"/>
      <c r="S6" s="52"/>
      <c r="T6" s="52"/>
      <c r="U6" s="9"/>
      <c r="V6" s="9"/>
      <c r="W6" s="9"/>
      <c r="X6" s="9"/>
      <c r="Y6" s="9"/>
    </row>
    <row r="7" spans="1:34" ht="21.6" thickBot="1" x14ac:dyDescent="0.45">
      <c r="A7" s="47"/>
      <c r="B7" s="80"/>
      <c r="C7" s="19"/>
      <c r="D7" s="19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34" s="5" customFormat="1" ht="29.4" thickBot="1" x14ac:dyDescent="0.35">
      <c r="A8" s="173" t="s">
        <v>138</v>
      </c>
      <c r="B8" s="40" t="s">
        <v>132</v>
      </c>
      <c r="C8" s="40" t="s">
        <v>15</v>
      </c>
      <c r="D8" s="175" t="s">
        <v>16</v>
      </c>
      <c r="E8" s="176" t="s">
        <v>17</v>
      </c>
      <c r="F8" s="26" t="s">
        <v>238</v>
      </c>
      <c r="G8" s="27" t="s">
        <v>239</v>
      </c>
      <c r="H8" s="26" t="s">
        <v>240</v>
      </c>
      <c r="I8" s="27" t="s">
        <v>400</v>
      </c>
      <c r="J8" s="26" t="s">
        <v>401</v>
      </c>
      <c r="K8" s="27" t="s">
        <v>466</v>
      </c>
      <c r="L8" s="27" t="s">
        <v>496</v>
      </c>
      <c r="M8" s="27" t="s">
        <v>497</v>
      </c>
      <c r="N8" s="27" t="s">
        <v>498</v>
      </c>
      <c r="O8" s="27" t="s">
        <v>499</v>
      </c>
      <c r="P8" s="27" t="s">
        <v>500</v>
      </c>
      <c r="Q8" s="27" t="s">
        <v>501</v>
      </c>
      <c r="R8" s="26" t="s">
        <v>502</v>
      </c>
      <c r="S8" s="27" t="s">
        <v>503</v>
      </c>
      <c r="T8" s="27" t="s">
        <v>504</v>
      </c>
      <c r="U8" s="27" t="s">
        <v>505</v>
      </c>
      <c r="V8" s="26" t="s">
        <v>506</v>
      </c>
      <c r="W8" s="26"/>
      <c r="X8" s="26"/>
      <c r="Y8" s="26"/>
    </row>
    <row r="9" spans="1:34" s="23" customFormat="1" x14ac:dyDescent="0.3">
      <c r="A9" s="179" t="s">
        <v>73</v>
      </c>
      <c r="B9" s="322" t="s">
        <v>244</v>
      </c>
      <c r="C9" s="347">
        <v>432949</v>
      </c>
      <c r="D9" s="231">
        <f t="shared" ref="D9:D20" si="0">SUM(G9:Y9)</f>
        <v>368461.68999999994</v>
      </c>
      <c r="E9" s="231">
        <f t="shared" ref="E9:E20" si="1">C9-D9</f>
        <v>64487.310000000056</v>
      </c>
      <c r="F9" s="220"/>
      <c r="G9" s="220"/>
      <c r="H9" s="220"/>
      <c r="I9" s="220">
        <v>69594.59</v>
      </c>
      <c r="J9" s="220">
        <v>34101.19</v>
      </c>
      <c r="K9" s="220">
        <v>35874.22</v>
      </c>
      <c r="L9" s="220">
        <v>26148.76</v>
      </c>
      <c r="M9" s="220">
        <v>38674.239999999998</v>
      </c>
      <c r="N9" s="220">
        <v>36620.370000000003</v>
      </c>
      <c r="O9" s="220">
        <v>33984.17</v>
      </c>
      <c r="P9" s="220">
        <v>40700.03</v>
      </c>
      <c r="Q9" s="220">
        <v>52764.12</v>
      </c>
      <c r="R9" s="220"/>
      <c r="S9" s="220"/>
      <c r="T9" s="220"/>
      <c r="U9" s="220"/>
      <c r="V9" s="220"/>
      <c r="W9" s="220"/>
      <c r="X9" s="220"/>
      <c r="Y9" s="220"/>
      <c r="Z9" s="6"/>
      <c r="AA9" s="6"/>
      <c r="AB9" s="6"/>
      <c r="AC9" s="6"/>
      <c r="AD9" s="6"/>
      <c r="AE9" s="6"/>
      <c r="AF9" s="6"/>
      <c r="AG9" s="6"/>
      <c r="AH9" s="6"/>
    </row>
    <row r="10" spans="1:34" s="23" customFormat="1" x14ac:dyDescent="0.3">
      <c r="A10" s="179" t="s">
        <v>29</v>
      </c>
      <c r="B10" s="322" t="s">
        <v>80</v>
      </c>
      <c r="C10" s="347">
        <v>238780</v>
      </c>
      <c r="D10" s="231">
        <f t="shared" si="0"/>
        <v>219837.56</v>
      </c>
      <c r="E10" s="231">
        <f t="shared" si="1"/>
        <v>18942.440000000002</v>
      </c>
      <c r="F10" s="220"/>
      <c r="G10" s="220"/>
      <c r="H10" s="220"/>
      <c r="I10" s="220"/>
      <c r="J10" s="220"/>
      <c r="K10" s="220">
        <v>59685.84</v>
      </c>
      <c r="L10" s="220">
        <v>19272.63</v>
      </c>
      <c r="M10" s="220">
        <v>8383.34</v>
      </c>
      <c r="N10" s="220">
        <v>18166.23</v>
      </c>
      <c r="O10" s="220">
        <v>26328.87</v>
      </c>
      <c r="P10" s="220">
        <v>30275.37</v>
      </c>
      <c r="Q10" s="220">
        <v>57725.279999999999</v>
      </c>
      <c r="R10" s="220"/>
      <c r="S10" s="220"/>
      <c r="T10" s="220"/>
      <c r="U10" s="220"/>
      <c r="V10" s="220"/>
      <c r="W10" s="220"/>
      <c r="X10" s="220"/>
      <c r="Y10" s="220"/>
      <c r="Z10" s="6"/>
      <c r="AA10" s="6"/>
      <c r="AB10" s="6"/>
      <c r="AC10" s="6"/>
      <c r="AD10" s="6"/>
      <c r="AE10" s="6"/>
      <c r="AF10" s="6"/>
      <c r="AG10" s="6"/>
      <c r="AH10" s="6"/>
    </row>
    <row r="11" spans="1:34" s="23" customFormat="1" x14ac:dyDescent="0.3">
      <c r="A11" s="179" t="s">
        <v>74</v>
      </c>
      <c r="B11" s="322" t="s">
        <v>374</v>
      </c>
      <c r="C11" s="347">
        <v>103390</v>
      </c>
      <c r="D11" s="231">
        <f t="shared" si="0"/>
        <v>85250.08</v>
      </c>
      <c r="E11" s="231">
        <f t="shared" si="1"/>
        <v>18139.919999999998</v>
      </c>
      <c r="F11" s="220"/>
      <c r="G11" s="220"/>
      <c r="H11" s="220"/>
      <c r="I11" s="220"/>
      <c r="J11" s="220">
        <v>17823</v>
      </c>
      <c r="K11" s="220"/>
      <c r="L11" s="220"/>
      <c r="M11" s="220"/>
      <c r="N11" s="220">
        <v>36120.080000000002</v>
      </c>
      <c r="O11" s="220"/>
      <c r="P11" s="220"/>
      <c r="Q11" s="220">
        <v>31307</v>
      </c>
      <c r="R11" s="220"/>
      <c r="S11" s="220"/>
      <c r="T11" s="220"/>
      <c r="U11" s="220"/>
      <c r="V11" s="220"/>
      <c r="W11" s="220"/>
      <c r="X11" s="220"/>
      <c r="Y11" s="220"/>
      <c r="Z11" s="6"/>
      <c r="AA11" s="6"/>
      <c r="AB11" s="6"/>
      <c r="AC11" s="6"/>
      <c r="AD11" s="6"/>
      <c r="AE11" s="6"/>
      <c r="AF11" s="6"/>
      <c r="AG11" s="6"/>
      <c r="AH11" s="6"/>
    </row>
    <row r="12" spans="1:34" s="23" customFormat="1" x14ac:dyDescent="0.3">
      <c r="A12" s="179" t="s">
        <v>6</v>
      </c>
      <c r="B12" s="322" t="s">
        <v>454</v>
      </c>
      <c r="C12" s="347">
        <v>183358</v>
      </c>
      <c r="D12" s="231">
        <f t="shared" si="0"/>
        <v>127675.15</v>
      </c>
      <c r="E12" s="231">
        <f t="shared" si="1"/>
        <v>55682.850000000006</v>
      </c>
      <c r="F12" s="220"/>
      <c r="G12" s="220"/>
      <c r="H12" s="220">
        <v>31631.56</v>
      </c>
      <c r="I12" s="220"/>
      <c r="J12" s="220"/>
      <c r="K12" s="220">
        <v>59199.19</v>
      </c>
      <c r="L12" s="220"/>
      <c r="M12" s="220"/>
      <c r="N12" s="220">
        <v>36844.400000000001</v>
      </c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6"/>
      <c r="AA12" s="6"/>
      <c r="AB12" s="6"/>
      <c r="AC12" s="6"/>
      <c r="AD12" s="6"/>
      <c r="AE12" s="6"/>
      <c r="AF12" s="6"/>
      <c r="AG12" s="6"/>
      <c r="AH12" s="6"/>
    </row>
    <row r="13" spans="1:34" s="23" customFormat="1" x14ac:dyDescent="0.3">
      <c r="A13" s="179" t="s">
        <v>30</v>
      </c>
      <c r="B13" s="322" t="s">
        <v>375</v>
      </c>
      <c r="C13" s="347">
        <v>84002</v>
      </c>
      <c r="D13" s="231">
        <f t="shared" si="0"/>
        <v>29597</v>
      </c>
      <c r="E13" s="231">
        <f t="shared" si="1"/>
        <v>54405</v>
      </c>
      <c r="F13" s="220"/>
      <c r="G13" s="220"/>
      <c r="H13" s="220"/>
      <c r="I13" s="220"/>
      <c r="J13" s="220"/>
      <c r="K13" s="220"/>
      <c r="L13" s="220"/>
      <c r="M13" s="220"/>
      <c r="N13" s="220"/>
      <c r="O13" s="220">
        <v>18988</v>
      </c>
      <c r="P13" s="220"/>
      <c r="Q13" s="220">
        <v>10609</v>
      </c>
      <c r="R13" s="220"/>
      <c r="S13" s="220"/>
      <c r="T13" s="220"/>
      <c r="U13" s="220"/>
      <c r="V13" s="220"/>
      <c r="W13" s="220"/>
      <c r="X13" s="220"/>
      <c r="Y13" s="220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23" customFormat="1" x14ac:dyDescent="0.3">
      <c r="A14" s="179" t="s">
        <v>31</v>
      </c>
      <c r="B14" s="322" t="s">
        <v>376</v>
      </c>
      <c r="C14" s="347">
        <v>453255</v>
      </c>
      <c r="D14" s="231">
        <f t="shared" si="0"/>
        <v>418124</v>
      </c>
      <c r="E14" s="231">
        <f t="shared" si="1"/>
        <v>35131</v>
      </c>
      <c r="F14" s="220"/>
      <c r="G14" s="220"/>
      <c r="H14" s="220"/>
      <c r="I14" s="220"/>
      <c r="J14" s="220">
        <f>25589+39582</f>
        <v>65171</v>
      </c>
      <c r="K14" s="220">
        <v>37841</v>
      </c>
      <c r="L14" s="220">
        <v>42161</v>
      </c>
      <c r="M14" s="220">
        <f>78510+5608</f>
        <v>84118</v>
      </c>
      <c r="N14" s="220">
        <v>35580</v>
      </c>
      <c r="O14" s="220">
        <v>47190</v>
      </c>
      <c r="P14" s="220">
        <v>48120</v>
      </c>
      <c r="Q14" s="220">
        <v>57943</v>
      </c>
      <c r="R14" s="220"/>
      <c r="S14" s="220"/>
      <c r="T14" s="220"/>
      <c r="U14" s="220"/>
      <c r="V14" s="220"/>
      <c r="W14" s="220"/>
      <c r="X14" s="220"/>
      <c r="Y14" s="220"/>
      <c r="Z14" s="6"/>
      <c r="AA14" s="6"/>
      <c r="AB14" s="6"/>
      <c r="AC14" s="6"/>
      <c r="AD14" s="6"/>
      <c r="AE14" s="6"/>
      <c r="AF14" s="6"/>
      <c r="AG14" s="6"/>
      <c r="AH14" s="6"/>
    </row>
    <row r="15" spans="1:34" s="23" customFormat="1" x14ac:dyDescent="0.3">
      <c r="A15" s="179" t="s">
        <v>67</v>
      </c>
      <c r="B15" s="322" t="s">
        <v>377</v>
      </c>
      <c r="C15" s="347">
        <v>129334</v>
      </c>
      <c r="D15" s="231">
        <f t="shared" si="0"/>
        <v>111352.54</v>
      </c>
      <c r="E15" s="231">
        <f t="shared" si="1"/>
        <v>17981.460000000006</v>
      </c>
      <c r="F15" s="220"/>
      <c r="G15" s="220"/>
      <c r="H15" s="220">
        <v>9000</v>
      </c>
      <c r="I15" s="220">
        <v>21144.959999999999</v>
      </c>
      <c r="J15" s="220">
        <v>10048.32</v>
      </c>
      <c r="K15" s="220">
        <v>10048.32</v>
      </c>
      <c r="L15" s="220">
        <v>10048.32</v>
      </c>
      <c r="M15" s="220">
        <v>10777.66</v>
      </c>
      <c r="N15" s="220"/>
      <c r="O15" s="220">
        <v>20142.5</v>
      </c>
      <c r="P15" s="220">
        <v>10071.23</v>
      </c>
      <c r="Q15" s="220">
        <v>10071.23</v>
      </c>
      <c r="R15" s="220"/>
      <c r="S15" s="220"/>
      <c r="T15" s="220"/>
      <c r="U15" s="220"/>
      <c r="V15" s="220"/>
      <c r="W15" s="220"/>
      <c r="X15" s="220"/>
      <c r="Y15" s="220"/>
      <c r="Z15" s="6"/>
      <c r="AA15" s="6"/>
      <c r="AB15" s="6"/>
      <c r="AC15" s="6"/>
      <c r="AD15" s="6"/>
      <c r="AE15" s="6"/>
      <c r="AF15" s="6"/>
      <c r="AG15" s="6"/>
      <c r="AH15" s="6"/>
    </row>
    <row r="16" spans="1:34" s="23" customFormat="1" ht="28.8" x14ac:dyDescent="0.3">
      <c r="A16" s="179" t="s">
        <v>332</v>
      </c>
      <c r="B16" s="322" t="s">
        <v>516</v>
      </c>
      <c r="C16" s="347">
        <v>90466</v>
      </c>
      <c r="D16" s="231">
        <f t="shared" si="0"/>
        <v>18902.47</v>
      </c>
      <c r="E16" s="231">
        <f t="shared" si="1"/>
        <v>71563.53</v>
      </c>
      <c r="F16" s="220"/>
      <c r="G16" s="220"/>
      <c r="H16" s="220"/>
      <c r="I16" s="220"/>
      <c r="J16" s="220">
        <v>507.04</v>
      </c>
      <c r="K16" s="220"/>
      <c r="L16" s="220">
        <v>18395.43</v>
      </c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6"/>
      <c r="AA16" s="6"/>
      <c r="AB16" s="6"/>
      <c r="AC16" s="6"/>
      <c r="AD16" s="6"/>
      <c r="AE16" s="6"/>
      <c r="AF16" s="6"/>
      <c r="AG16" s="6"/>
      <c r="AH16" s="6"/>
    </row>
    <row r="17" spans="1:34" s="23" customFormat="1" x14ac:dyDescent="0.3">
      <c r="A17" s="179" t="s">
        <v>331</v>
      </c>
      <c r="B17" s="322" t="s">
        <v>455</v>
      </c>
      <c r="C17" s="347">
        <v>204060</v>
      </c>
      <c r="D17" s="231">
        <f t="shared" si="0"/>
        <v>168793.06000000003</v>
      </c>
      <c r="E17" s="231">
        <f t="shared" si="1"/>
        <v>35266.939999999973</v>
      </c>
      <c r="F17" s="220"/>
      <c r="G17" s="220"/>
      <c r="H17" s="220"/>
      <c r="I17" s="220">
        <v>22963.81</v>
      </c>
      <c r="J17" s="220">
        <v>15023.84</v>
      </c>
      <c r="K17" s="220">
        <v>15762.16</v>
      </c>
      <c r="L17" s="220">
        <v>20692.22</v>
      </c>
      <c r="M17" s="220">
        <v>16677.38</v>
      </c>
      <c r="N17" s="220">
        <v>20398.32</v>
      </c>
      <c r="O17" s="220">
        <v>20499.57</v>
      </c>
      <c r="P17" s="220">
        <v>18125.810000000001</v>
      </c>
      <c r="Q17" s="220">
        <v>18649.95</v>
      </c>
      <c r="R17" s="220"/>
      <c r="S17" s="220"/>
      <c r="T17" s="220"/>
      <c r="U17" s="220"/>
      <c r="V17" s="220"/>
      <c r="W17" s="220"/>
      <c r="X17" s="220"/>
      <c r="Y17" s="220"/>
      <c r="Z17" s="6"/>
      <c r="AA17" s="6"/>
      <c r="AB17" s="6"/>
      <c r="AC17" s="6"/>
      <c r="AD17" s="6"/>
      <c r="AE17" s="6"/>
      <c r="AF17" s="6"/>
      <c r="AG17" s="6"/>
      <c r="AH17" s="6"/>
    </row>
    <row r="18" spans="1:34" s="23" customFormat="1" x14ac:dyDescent="0.3">
      <c r="A18" s="179" t="s">
        <v>10</v>
      </c>
      <c r="B18" s="322" t="s">
        <v>378</v>
      </c>
      <c r="C18" s="347">
        <v>1457385</v>
      </c>
      <c r="D18" s="231">
        <f t="shared" si="0"/>
        <v>1288277</v>
      </c>
      <c r="E18" s="231">
        <f t="shared" si="1"/>
        <v>169108</v>
      </c>
      <c r="F18" s="220"/>
      <c r="G18" s="220"/>
      <c r="H18" s="220">
        <v>155000</v>
      </c>
      <c r="I18" s="220">
        <v>152000</v>
      </c>
      <c r="J18" s="220">
        <v>82000</v>
      </c>
      <c r="K18" s="220">
        <v>80081</v>
      </c>
      <c r="L18" s="220">
        <v>75887</v>
      </c>
      <c r="M18" s="220">
        <f>25212.43+77363.57</f>
        <v>102576</v>
      </c>
      <c r="N18" s="220">
        <v>72487</v>
      </c>
      <c r="O18" s="220">
        <v>97852</v>
      </c>
      <c r="P18" s="220">
        <v>305000</v>
      </c>
      <c r="Q18" s="220">
        <v>165394</v>
      </c>
      <c r="R18" s="220"/>
      <c r="S18" s="220"/>
      <c r="T18" s="220"/>
      <c r="U18" s="220"/>
      <c r="V18" s="220"/>
      <c r="W18" s="220"/>
      <c r="X18" s="220"/>
      <c r="Y18" s="220"/>
      <c r="Z18" s="6"/>
      <c r="AA18" s="6"/>
      <c r="AB18" s="6"/>
      <c r="AC18" s="6"/>
      <c r="AD18" s="6"/>
      <c r="AE18" s="6"/>
      <c r="AF18" s="6"/>
      <c r="AG18" s="6"/>
      <c r="AH18" s="6"/>
    </row>
    <row r="19" spans="1:34" s="23" customFormat="1" x14ac:dyDescent="0.3">
      <c r="A19" s="179" t="s">
        <v>11</v>
      </c>
      <c r="B19" s="322" t="s">
        <v>12</v>
      </c>
      <c r="C19" s="347">
        <v>148624</v>
      </c>
      <c r="D19" s="231">
        <f t="shared" si="0"/>
        <v>112169.94</v>
      </c>
      <c r="E19" s="231">
        <f t="shared" si="1"/>
        <v>36454.06</v>
      </c>
      <c r="F19" s="220"/>
      <c r="G19" s="220"/>
      <c r="H19" s="220"/>
      <c r="I19" s="220">
        <v>12045.82</v>
      </c>
      <c r="J19" s="220"/>
      <c r="K19" s="6">
        <v>21250.560000000001</v>
      </c>
      <c r="L19" s="220">
        <v>12682.07</v>
      </c>
      <c r="M19" s="220">
        <v>9852.77</v>
      </c>
      <c r="N19" s="220"/>
      <c r="O19" s="220">
        <v>24453.51</v>
      </c>
      <c r="P19" s="220">
        <v>15259.42</v>
      </c>
      <c r="Q19" s="220">
        <v>16625.79</v>
      </c>
      <c r="R19" s="220"/>
      <c r="S19" s="220"/>
      <c r="T19" s="220"/>
      <c r="U19" s="220"/>
      <c r="V19" s="220"/>
      <c r="W19" s="220"/>
      <c r="X19" s="220"/>
      <c r="Y19" s="220"/>
      <c r="Z19" s="6"/>
      <c r="AA19" s="6"/>
      <c r="AB19" s="6"/>
      <c r="AC19" s="6"/>
      <c r="AD19" s="6"/>
      <c r="AE19" s="6"/>
      <c r="AF19" s="6"/>
      <c r="AG19" s="6"/>
      <c r="AH19" s="6"/>
    </row>
    <row r="20" spans="1:34" s="23" customFormat="1" x14ac:dyDescent="0.3">
      <c r="A20" s="179" t="s">
        <v>70</v>
      </c>
      <c r="B20" s="322" t="s">
        <v>241</v>
      </c>
      <c r="C20" s="347">
        <v>90466</v>
      </c>
      <c r="D20" s="231">
        <f t="shared" si="0"/>
        <v>90466.000000000015</v>
      </c>
      <c r="E20" s="231">
        <f t="shared" si="1"/>
        <v>0</v>
      </c>
      <c r="F20" s="220"/>
      <c r="G20" s="220"/>
      <c r="H20" s="220">
        <v>13067.92</v>
      </c>
      <c r="I20" s="220">
        <v>12841.08</v>
      </c>
      <c r="J20" s="220">
        <f>7600.16</f>
        <v>7600.16</v>
      </c>
      <c r="K20" s="220">
        <v>7999.03</v>
      </c>
      <c r="L20" s="220">
        <v>7687.67</v>
      </c>
      <c r="M20" s="220">
        <v>9148.14</v>
      </c>
      <c r="N20" s="220"/>
      <c r="O20" s="220">
        <v>20013.349999999999</v>
      </c>
      <c r="P20" s="220">
        <v>10331.129999999999</v>
      </c>
      <c r="Q20" s="220">
        <v>1777.52</v>
      </c>
      <c r="R20" s="220"/>
      <c r="S20" s="220"/>
      <c r="T20" s="220"/>
      <c r="U20" s="220"/>
      <c r="V20" s="220"/>
      <c r="W20" s="220"/>
      <c r="X20" s="220"/>
      <c r="Y20" s="220"/>
      <c r="Z20" s="6"/>
      <c r="AA20" s="6"/>
      <c r="AB20" s="6"/>
      <c r="AC20" s="6"/>
      <c r="AD20" s="6"/>
      <c r="AE20" s="6"/>
      <c r="AF20" s="6"/>
      <c r="AG20" s="6"/>
      <c r="AH20" s="6"/>
    </row>
    <row r="21" spans="1:34" s="23" customFormat="1" x14ac:dyDescent="0.3">
      <c r="A21" s="179" t="s">
        <v>72</v>
      </c>
      <c r="B21" s="322" t="s">
        <v>170</v>
      </c>
      <c r="C21" s="347">
        <v>1217107</v>
      </c>
      <c r="D21" s="231">
        <f>SUM(G21:Y21)</f>
        <v>1013778.6399999999</v>
      </c>
      <c r="E21" s="231">
        <f>C21-D21</f>
        <v>203328.3600000001</v>
      </c>
      <c r="F21" s="220"/>
      <c r="G21" s="220"/>
      <c r="H21" s="220">
        <f>(20886.39+54152.84)</f>
        <v>75039.23</v>
      </c>
      <c r="I21" s="220"/>
      <c r="J21" s="220"/>
      <c r="K21" s="220"/>
      <c r="L21" s="220"/>
      <c r="M21" s="220"/>
      <c r="N21" s="220">
        <v>67351</v>
      </c>
      <c r="O21" s="220"/>
      <c r="P21" s="220">
        <f>(38763.23+118647.95+65654.44+89314.58+133020.38+145254.03)</f>
        <v>590654.61</v>
      </c>
      <c r="Q21" s="220">
        <f>(155956.34+124777.46)</f>
        <v>280733.8</v>
      </c>
      <c r="R21" s="220"/>
      <c r="S21" s="220"/>
      <c r="T21" s="220"/>
      <c r="U21" s="220"/>
      <c r="V21" s="220"/>
      <c r="W21" s="220"/>
      <c r="X21" s="220"/>
      <c r="Y21" s="220"/>
      <c r="Z21" s="6"/>
      <c r="AA21" s="6"/>
      <c r="AB21" s="6"/>
      <c r="AC21" s="6"/>
      <c r="AD21" s="6"/>
      <c r="AE21" s="6"/>
      <c r="AF21" s="6"/>
      <c r="AG21" s="6"/>
      <c r="AH21" s="6"/>
    </row>
    <row r="22" spans="1:34" s="23" customFormat="1" x14ac:dyDescent="0.3">
      <c r="A22" s="179" t="s">
        <v>90</v>
      </c>
      <c r="B22" s="322" t="s">
        <v>513</v>
      </c>
      <c r="C22" s="347">
        <v>329092</v>
      </c>
      <c r="D22" s="231">
        <f>SUM(G22:Y22)</f>
        <v>245714.54</v>
      </c>
      <c r="E22" s="231">
        <f>C22-D22</f>
        <v>83377.459999999992</v>
      </c>
      <c r="F22" s="220"/>
      <c r="G22" s="220"/>
      <c r="H22" s="220"/>
      <c r="I22" s="220"/>
      <c r="J22" s="220">
        <f>12366.28+21735.05+26313.63+25435.42</f>
        <v>85850.38</v>
      </c>
      <c r="K22" s="220">
        <v>25675.3</v>
      </c>
      <c r="L22" s="220">
        <v>23118.240000000002</v>
      </c>
      <c r="M22" s="220"/>
      <c r="N22" s="220">
        <v>26609.06</v>
      </c>
      <c r="O22" s="220">
        <v>25506.12</v>
      </c>
      <c r="P22" s="220">
        <v>32709.75</v>
      </c>
      <c r="Q22" s="220">
        <v>26245.69</v>
      </c>
      <c r="R22" s="220"/>
      <c r="S22" s="220"/>
      <c r="T22" s="220"/>
      <c r="U22" s="220"/>
      <c r="V22" s="220"/>
      <c r="W22" s="220"/>
      <c r="X22" s="220"/>
      <c r="Y22" s="220"/>
      <c r="Z22" s="6"/>
      <c r="AA22" s="6"/>
      <c r="AB22" s="6"/>
      <c r="AC22" s="6"/>
      <c r="AD22" s="6"/>
      <c r="AE22" s="6"/>
      <c r="AF22" s="6"/>
      <c r="AG22" s="6"/>
      <c r="AH22" s="6"/>
    </row>
    <row r="23" spans="1:34" s="160" customFormat="1" ht="15" thickBot="1" x14ac:dyDescent="0.35">
      <c r="A23" s="177"/>
      <c r="B23" s="178"/>
      <c r="C23" s="232"/>
      <c r="D23" s="232"/>
      <c r="E23" s="232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2"/>
      <c r="AA23" s="222"/>
      <c r="AB23" s="222"/>
      <c r="AC23" s="222"/>
      <c r="AD23" s="222"/>
      <c r="AE23" s="222"/>
      <c r="AF23" s="222"/>
      <c r="AG23" s="222"/>
      <c r="AH23" s="222"/>
    </row>
    <row r="24" spans="1:34" s="24" customFormat="1" ht="15" thickBot="1" x14ac:dyDescent="0.35">
      <c r="A24" s="72" t="s">
        <v>46</v>
      </c>
      <c r="B24" s="171"/>
      <c r="C24" s="223">
        <f t="shared" ref="C24:V24" si="2">SUM(C9:C22)</f>
        <v>5162268</v>
      </c>
      <c r="D24" s="223">
        <f t="shared" si="2"/>
        <v>4298399.67</v>
      </c>
      <c r="E24" s="223">
        <f t="shared" si="2"/>
        <v>863868.33000000007</v>
      </c>
      <c r="F24" s="223">
        <f t="shared" si="2"/>
        <v>0</v>
      </c>
      <c r="G24" s="223">
        <f t="shared" si="2"/>
        <v>0</v>
      </c>
      <c r="H24" s="223">
        <f t="shared" si="2"/>
        <v>283738.71000000002</v>
      </c>
      <c r="I24" s="223">
        <f t="shared" si="2"/>
        <v>290590.26</v>
      </c>
      <c r="J24" s="223">
        <f t="shared" si="2"/>
        <v>318124.93000000005</v>
      </c>
      <c r="K24" s="223">
        <f t="shared" si="2"/>
        <v>353416.62</v>
      </c>
      <c r="L24" s="223">
        <f t="shared" si="2"/>
        <v>256093.34</v>
      </c>
      <c r="M24" s="223">
        <f t="shared" si="2"/>
        <v>280207.53000000003</v>
      </c>
      <c r="N24" s="223">
        <f t="shared" si="2"/>
        <v>350176.46</v>
      </c>
      <c r="O24" s="223">
        <f t="shared" si="2"/>
        <v>334958.08999999997</v>
      </c>
      <c r="P24" s="223">
        <f t="shared" si="2"/>
        <v>1101247.3500000001</v>
      </c>
      <c r="Q24" s="223">
        <f t="shared" si="2"/>
        <v>729846.37999999989</v>
      </c>
      <c r="R24" s="223">
        <f t="shared" si="2"/>
        <v>0</v>
      </c>
      <c r="S24" s="223">
        <f t="shared" si="2"/>
        <v>0</v>
      </c>
      <c r="T24" s="223">
        <f t="shared" si="2"/>
        <v>0</v>
      </c>
      <c r="U24" s="223">
        <f t="shared" si="2"/>
        <v>0</v>
      </c>
      <c r="V24" s="223">
        <f t="shared" si="2"/>
        <v>0</v>
      </c>
      <c r="W24" s="223"/>
      <c r="X24" s="223"/>
      <c r="Y24" s="223"/>
      <c r="Z24" s="224"/>
      <c r="AA24" s="224"/>
      <c r="AB24" s="224"/>
      <c r="AC24" s="224"/>
      <c r="AD24" s="224"/>
      <c r="AE24" s="224"/>
      <c r="AF24" s="224"/>
      <c r="AG24" s="224"/>
      <c r="AH24" s="224"/>
    </row>
    <row r="25" spans="1:34" x14ac:dyDescent="0.3">
      <c r="C25" s="31"/>
      <c r="D25" s="6">
        <v>892453.9</v>
      </c>
      <c r="E25" s="6"/>
      <c r="F25" s="7"/>
      <c r="G25" s="7"/>
      <c r="H25" s="7">
        <v>283738.71000000002</v>
      </c>
      <c r="I25" s="7">
        <v>290590.26</v>
      </c>
      <c r="J25" s="7">
        <v>318124.93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6"/>
      <c r="AA25" s="6"/>
      <c r="AB25" s="6"/>
      <c r="AC25" s="6"/>
      <c r="AD25" s="6"/>
      <c r="AE25" s="6"/>
      <c r="AF25" s="6"/>
      <c r="AG25" s="6"/>
      <c r="AH25" s="6"/>
    </row>
    <row r="26" spans="1:34" x14ac:dyDescent="0.3">
      <c r="C26" s="31"/>
      <c r="D26" s="6">
        <f>D24-D25</f>
        <v>3405945.77</v>
      </c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6"/>
      <c r="AA26" s="6"/>
      <c r="AB26" s="6"/>
      <c r="AC26" s="6"/>
      <c r="AD26" s="6"/>
      <c r="AE26" s="6"/>
      <c r="AF26" s="6"/>
      <c r="AG26" s="6"/>
      <c r="AH26" s="6"/>
    </row>
    <row r="27" spans="1:34" x14ac:dyDescent="0.3">
      <c r="C27" s="31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6"/>
      <c r="AA27" s="6"/>
      <c r="AB27" s="6"/>
      <c r="AC27" s="6"/>
      <c r="AD27" s="6"/>
      <c r="AE27" s="6"/>
      <c r="AF27" s="6"/>
      <c r="AG27" s="6"/>
      <c r="AH27" s="6"/>
    </row>
    <row r="28" spans="1:34" x14ac:dyDescent="0.3">
      <c r="C28" s="31"/>
      <c r="D28" s="6" t="s">
        <v>680</v>
      </c>
      <c r="E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6"/>
      <c r="AA28" s="6"/>
      <c r="AB28" s="6"/>
      <c r="AC28" s="6"/>
      <c r="AD28" s="6"/>
      <c r="AE28" s="6"/>
      <c r="AF28" s="6"/>
      <c r="AG28" s="6"/>
      <c r="AH28" s="6"/>
    </row>
    <row r="29" spans="1:34" x14ac:dyDescent="0.3">
      <c r="C29" s="31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6"/>
      <c r="AA29" s="6"/>
      <c r="AB29" s="6"/>
      <c r="AC29" s="6"/>
      <c r="AD29" s="6"/>
      <c r="AE29" s="6"/>
      <c r="AF29" s="6"/>
      <c r="AG29" s="6"/>
      <c r="AH29" s="6"/>
    </row>
    <row r="30" spans="1:34" x14ac:dyDescent="0.3">
      <c r="D30" s="6"/>
      <c r="E30" s="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6"/>
      <c r="AA30" s="6"/>
      <c r="AB30" s="6"/>
      <c r="AC30" s="6"/>
      <c r="AD30" s="6"/>
      <c r="AE30" s="6"/>
      <c r="AF30" s="6"/>
      <c r="AG30" s="6"/>
      <c r="AH30" s="6"/>
    </row>
    <row r="31" spans="1:34" x14ac:dyDescent="0.3"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6"/>
      <c r="AA31" s="6"/>
      <c r="AB31" s="6"/>
      <c r="AC31" s="6"/>
      <c r="AD31" s="6"/>
      <c r="AE31" s="6"/>
      <c r="AF31" s="6"/>
      <c r="AG31" s="6"/>
      <c r="AH31" s="6"/>
    </row>
    <row r="32" spans="1:34" x14ac:dyDescent="0.3"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  <c r="AA32" s="6"/>
      <c r="AB32" s="6"/>
      <c r="AC32" s="6"/>
      <c r="AD32" s="6"/>
      <c r="AE32" s="6"/>
      <c r="AF32" s="6"/>
      <c r="AG32" s="6"/>
      <c r="AH32" s="6"/>
    </row>
    <row r="33" spans="4:25" x14ac:dyDescent="0.3"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4:25" x14ac:dyDescent="0.3"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4:25" x14ac:dyDescent="0.3"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4:25" x14ac:dyDescent="0.3"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4:25" x14ac:dyDescent="0.3"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4:25" x14ac:dyDescent="0.3">
      <c r="D38" s="6"/>
      <c r="E38" s="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4:25" x14ac:dyDescent="0.3">
      <c r="D39" s="6"/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4:25" x14ac:dyDescent="0.3">
      <c r="D40" s="6"/>
      <c r="E40" s="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4:25" x14ac:dyDescent="0.3">
      <c r="D41" s="6"/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4:25" x14ac:dyDescent="0.3">
      <c r="D42" s="6"/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4:25" x14ac:dyDescent="0.3">
      <c r="D43" s="6"/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4:25" x14ac:dyDescent="0.3">
      <c r="D44" s="6"/>
      <c r="E44" s="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4:25" x14ac:dyDescent="0.3">
      <c r="D45" s="6"/>
      <c r="E45" s="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4:25" x14ac:dyDescent="0.3">
      <c r="D46" s="6"/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4:25" x14ac:dyDescent="0.3">
      <c r="D47" s="6"/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4:25" x14ac:dyDescent="0.3">
      <c r="D48" s="6"/>
      <c r="E48" s="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4:25" x14ac:dyDescent="0.3">
      <c r="D49" s="6"/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4:25" x14ac:dyDescent="0.3">
      <c r="D50" s="6"/>
      <c r="E50" s="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4:25" x14ac:dyDescent="0.3">
      <c r="D51" s="6"/>
      <c r="E51" s="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4:25" x14ac:dyDescent="0.3">
      <c r="D52" s="6"/>
      <c r="E52" s="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4:25" x14ac:dyDescent="0.3">
      <c r="D53" s="6"/>
      <c r="E53" s="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4:25" x14ac:dyDescent="0.3">
      <c r="D54" s="6"/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4:25" x14ac:dyDescent="0.3">
      <c r="D55" s="6"/>
      <c r="E55" s="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4:25" x14ac:dyDescent="0.3">
      <c r="D56" s="6"/>
      <c r="E56" s="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4:25" x14ac:dyDescent="0.3">
      <c r="D57" s="6"/>
      <c r="E57" s="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4:25" x14ac:dyDescent="0.3">
      <c r="D58" s="6"/>
      <c r="E58" s="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4:25" x14ac:dyDescent="0.3">
      <c r="D59" s="6"/>
      <c r="E59" s="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4:25" x14ac:dyDescent="0.3">
      <c r="D60" s="6"/>
      <c r="E60" s="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4:25" x14ac:dyDescent="0.3"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4:25" x14ac:dyDescent="0.3">
      <c r="D62" s="6"/>
      <c r="E62" s="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4:25" x14ac:dyDescent="0.3">
      <c r="D63" s="6"/>
      <c r="E63" s="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4:25" x14ac:dyDescent="0.3">
      <c r="D64" s="6"/>
      <c r="E64" s="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4:25" x14ac:dyDescent="0.3">
      <c r="D65" s="6"/>
      <c r="E65" s="6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4:25" x14ac:dyDescent="0.3">
      <c r="D66" s="6"/>
      <c r="E66" s="6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4:25" x14ac:dyDescent="0.3">
      <c r="D67" s="6"/>
      <c r="E67" s="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4:25" x14ac:dyDescent="0.3">
      <c r="D68" s="6"/>
      <c r="E68" s="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4:25" x14ac:dyDescent="0.3">
      <c r="D69" s="6"/>
      <c r="E69" s="6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4:25" x14ac:dyDescent="0.3">
      <c r="D70" s="6"/>
      <c r="E70" s="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4:25" x14ac:dyDescent="0.3">
      <c r="D71" s="6"/>
      <c r="E71" s="6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4:25" x14ac:dyDescent="0.3">
      <c r="D72" s="6"/>
      <c r="E72" s="6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4:25" x14ac:dyDescent="0.3">
      <c r="D73" s="6"/>
      <c r="E73" s="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4:25" x14ac:dyDescent="0.3">
      <c r="D74" s="6"/>
      <c r="E74" s="6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4:25" x14ac:dyDescent="0.3">
      <c r="D75" s="6"/>
      <c r="E75" s="6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4:25" x14ac:dyDescent="0.3">
      <c r="D76" s="6"/>
      <c r="E76" s="6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4:25" x14ac:dyDescent="0.3">
      <c r="D77" s="6"/>
      <c r="E77" s="6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4:25" x14ac:dyDescent="0.3">
      <c r="D78" s="6"/>
      <c r="E78" s="6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4:25" x14ac:dyDescent="0.3">
      <c r="D79" s="6"/>
      <c r="E79" s="6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4:25" x14ac:dyDescent="0.3">
      <c r="D80" s="6"/>
      <c r="E80" s="6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4:25" x14ac:dyDescent="0.3">
      <c r="D81" s="6"/>
      <c r="E81" s="6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4:25" x14ac:dyDescent="0.3">
      <c r="D82" s="6"/>
      <c r="E82" s="6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4:25" x14ac:dyDescent="0.3">
      <c r="D83" s="6"/>
      <c r="E83" s="6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4:25" x14ac:dyDescent="0.3">
      <c r="D84" s="6"/>
      <c r="E84" s="6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4:25" x14ac:dyDescent="0.3">
      <c r="D85" s="6"/>
      <c r="E85" s="6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4:25" x14ac:dyDescent="0.3">
      <c r="D86" s="6"/>
      <c r="E86" s="6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4:25" x14ac:dyDescent="0.3">
      <c r="D87" s="6"/>
      <c r="E87" s="6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4:25" x14ac:dyDescent="0.3">
      <c r="D88" s="6"/>
      <c r="E88" s="6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4:25" x14ac:dyDescent="0.3">
      <c r="D89" s="6"/>
      <c r="E89" s="6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4:25" x14ac:dyDescent="0.3">
      <c r="D90" s="6"/>
      <c r="E90" s="6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4:25" x14ac:dyDescent="0.3">
      <c r="D91" s="6"/>
      <c r="E91" s="6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4:25" x14ac:dyDescent="0.3">
      <c r="D92" s="6"/>
      <c r="E92" s="6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4:25" x14ac:dyDescent="0.3">
      <c r="D93" s="6"/>
      <c r="E93" s="6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4:25" x14ac:dyDescent="0.3">
      <c r="D94" s="6"/>
      <c r="E94" s="6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4:25" x14ac:dyDescent="0.3">
      <c r="D95" s="6"/>
      <c r="E95" s="6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4:25" x14ac:dyDescent="0.3">
      <c r="D96" s="6"/>
      <c r="E96" s="6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4:25" x14ac:dyDescent="0.3">
      <c r="D97" s="6"/>
      <c r="E97" s="6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4:25" x14ac:dyDescent="0.3">
      <c r="D98" s="6"/>
      <c r="E98" s="6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4:25" x14ac:dyDescent="0.3">
      <c r="D99" s="6"/>
      <c r="E99" s="6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4:25" x14ac:dyDescent="0.3">
      <c r="D100" s="6"/>
      <c r="E100" s="6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4:25" x14ac:dyDescent="0.3">
      <c r="D101" s="6"/>
      <c r="E101" s="6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4:25" x14ac:dyDescent="0.3">
      <c r="D102" s="6"/>
      <c r="E102" s="6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4:25" x14ac:dyDescent="0.3">
      <c r="D103" s="6"/>
      <c r="E103" s="6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4:25" x14ac:dyDescent="0.3">
      <c r="D104" s="6"/>
      <c r="E104" s="6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4:25" x14ac:dyDescent="0.3">
      <c r="D105" s="6"/>
      <c r="E105" s="6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4:25" x14ac:dyDescent="0.3">
      <c r="D106" s="6"/>
      <c r="E106" s="6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4:25" x14ac:dyDescent="0.3">
      <c r="D107" s="6"/>
      <c r="E107" s="6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4:25" x14ac:dyDescent="0.3">
      <c r="D108" s="6"/>
      <c r="E108" s="6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4:25" x14ac:dyDescent="0.3">
      <c r="D109" s="6"/>
      <c r="E109" s="6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4:25" x14ac:dyDescent="0.3">
      <c r="D110" s="6"/>
      <c r="E110" s="6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4:25" x14ac:dyDescent="0.3">
      <c r="D111" s="6"/>
      <c r="E111" s="6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4:25" x14ac:dyDescent="0.3">
      <c r="D112" s="6"/>
      <c r="E112" s="6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4:25" x14ac:dyDescent="0.3">
      <c r="D113" s="6"/>
      <c r="E113" s="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4:25" x14ac:dyDescent="0.3">
      <c r="D114" s="6"/>
      <c r="E114" s="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4:25" x14ac:dyDescent="0.3">
      <c r="D115" s="6"/>
      <c r="E115" s="6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4:25" x14ac:dyDescent="0.3">
      <c r="D116" s="6"/>
      <c r="E116" s="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4:25" x14ac:dyDescent="0.3">
      <c r="D117" s="6"/>
      <c r="E117" s="6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4:25" x14ac:dyDescent="0.3">
      <c r="D118" s="6"/>
      <c r="E118" s="6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4:25" x14ac:dyDescent="0.3">
      <c r="D119" s="6"/>
      <c r="E119" s="6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4:25" x14ac:dyDescent="0.3">
      <c r="D120" s="6"/>
      <c r="E120" s="6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4:25" x14ac:dyDescent="0.3">
      <c r="D121" s="6"/>
      <c r="E121" s="6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4:25" x14ac:dyDescent="0.3">
      <c r="D122" s="6"/>
      <c r="E122" s="6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4:25" x14ac:dyDescent="0.3">
      <c r="D123" s="6"/>
      <c r="E123" s="6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4:25" x14ac:dyDescent="0.3">
      <c r="D124" s="6"/>
      <c r="E124" s="6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4:25" x14ac:dyDescent="0.3">
      <c r="D125" s="6"/>
      <c r="E125" s="6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4:25" x14ac:dyDescent="0.3">
      <c r="D126" s="6"/>
      <c r="E126" s="6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4:25" x14ac:dyDescent="0.3">
      <c r="D127" s="6"/>
      <c r="E127" s="6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4:25" x14ac:dyDescent="0.3">
      <c r="D128" s="6"/>
      <c r="E128" s="6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4:25" x14ac:dyDescent="0.3">
      <c r="D129" s="6"/>
      <c r="E129" s="6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4:25" x14ac:dyDescent="0.3">
      <c r="D130" s="6"/>
      <c r="E130" s="6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4:25" x14ac:dyDescent="0.3">
      <c r="D131" s="6"/>
      <c r="E131" s="6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</sheetData>
  <sheetProtection algorithmName="SHA-512" hashValue="RfiQhp8pQponBcw9iot5GIpdQPEbgjhw8w/f/6hS8RLIkYCsn3jJIM286GUaN7vsb88aJ0C2GYc7UWw+mvn71A==" saltValue="a+Jv5DpmK1dnFZ1xvYnixA==" spinCount="100000" sheet="1" objects="1" scenarios="1"/>
  <hyperlinks>
    <hyperlink ref="C5" r:id="rId1" xr:uid="{8082B30D-D9DC-4BBE-8B3F-678306FB2D02}"/>
  </hyperlinks>
  <pageMargins left="0.1" right="0.1" top="0.1" bottom="0.1" header="0.3" footer="0.3"/>
  <pageSetup scale="81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6">
    <tabColor theme="2"/>
  </sheetPr>
  <dimension ref="A1:AB43"/>
  <sheetViews>
    <sheetView zoomScale="115" zoomScaleNormal="115" workbookViewId="0">
      <pane xSplit="7" ySplit="8" topLeftCell="H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H9" sqref="H9:M15"/>
    </sheetView>
  </sheetViews>
  <sheetFormatPr defaultColWidth="8.5546875" defaultRowHeight="14.4" x14ac:dyDescent="0.3"/>
  <cols>
    <col min="1" max="1" width="8.5546875" style="65"/>
    <col min="2" max="2" width="31.5546875" style="44" customWidth="1"/>
    <col min="3" max="3" width="11.44140625" style="65" customWidth="1"/>
    <col min="4" max="4" width="30.5546875" style="44" customWidth="1"/>
    <col min="5" max="7" width="14.5546875" style="45" customWidth="1"/>
    <col min="8" max="26" width="15.5546875" style="44" customWidth="1"/>
    <col min="27" max="28" width="21.44140625" style="44" customWidth="1"/>
    <col min="29" max="16384" width="8.5546875" style="44"/>
  </cols>
  <sheetData>
    <row r="1" spans="1:28" s="45" customFormat="1" ht="21" x14ac:dyDescent="0.4">
      <c r="A1" s="62" t="s">
        <v>0</v>
      </c>
      <c r="B1" s="53"/>
      <c r="C1" s="66" t="s">
        <v>194</v>
      </c>
      <c r="D1" s="50"/>
      <c r="E1" s="50"/>
      <c r="F1" s="50"/>
      <c r="G1" s="54"/>
      <c r="H1" s="53"/>
      <c r="I1" s="48"/>
      <c r="J1" s="66" t="str">
        <f>$C$1</f>
        <v>BEST Instruction</v>
      </c>
      <c r="K1" s="53"/>
      <c r="L1" s="53"/>
      <c r="M1" s="48"/>
      <c r="N1" s="53"/>
      <c r="O1" s="53"/>
      <c r="P1" s="66" t="str">
        <f>$C$1</f>
        <v>BEST Instruction</v>
      </c>
      <c r="Q1" s="48"/>
      <c r="R1" s="48"/>
      <c r="S1" s="53"/>
      <c r="T1" s="48"/>
      <c r="U1" s="53"/>
      <c r="V1" s="53"/>
      <c r="W1" s="66" t="str">
        <f>$C$1</f>
        <v>BEST Instruction</v>
      </c>
      <c r="X1" s="53"/>
      <c r="Y1" s="48"/>
      <c r="Z1" s="53"/>
      <c r="AA1" s="47"/>
      <c r="AB1" s="47"/>
    </row>
    <row r="2" spans="1:28" s="3" customFormat="1" ht="21" x14ac:dyDescent="0.4">
      <c r="A2" s="47" t="s">
        <v>147</v>
      </c>
      <c r="B2" s="49"/>
      <c r="C2" s="62" t="s">
        <v>195</v>
      </c>
      <c r="D2" s="48"/>
      <c r="E2" s="48"/>
      <c r="F2" s="48"/>
      <c r="G2" s="15"/>
      <c r="H2" s="49"/>
      <c r="I2" s="49"/>
      <c r="J2" s="50" t="str">
        <f>"FY"&amp;$C$4</f>
        <v>FY2019-20</v>
      </c>
      <c r="K2" s="49"/>
      <c r="L2" s="49"/>
      <c r="M2" s="49"/>
      <c r="N2" s="49"/>
      <c r="O2" s="49"/>
      <c r="P2" s="50" t="str">
        <f>"FY"&amp;$C$4</f>
        <v>FY2019-20</v>
      </c>
      <c r="Q2" s="49"/>
      <c r="R2" s="49"/>
      <c r="S2" s="49"/>
      <c r="T2" s="49"/>
      <c r="U2" s="49"/>
      <c r="V2" s="49"/>
      <c r="W2" s="50" t="str">
        <f>"FY"&amp;$C$4</f>
        <v>FY2019-20</v>
      </c>
      <c r="X2" s="49"/>
      <c r="Y2" s="49"/>
      <c r="Z2" s="49"/>
      <c r="AA2" s="47"/>
      <c r="AB2" s="47"/>
    </row>
    <row r="3" spans="1:28" s="45" customFormat="1" ht="15.6" x14ac:dyDescent="0.3">
      <c r="A3" s="63" t="s">
        <v>1</v>
      </c>
      <c r="B3" s="53"/>
      <c r="C3" s="67" t="s">
        <v>196</v>
      </c>
      <c r="D3" s="50"/>
      <c r="E3" s="50"/>
      <c r="F3" s="50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54"/>
    </row>
    <row r="4" spans="1:28" s="45" customFormat="1" ht="15.6" x14ac:dyDescent="0.3">
      <c r="A4" s="63" t="s">
        <v>2</v>
      </c>
      <c r="B4" s="53"/>
      <c r="C4" s="67" t="s">
        <v>398</v>
      </c>
      <c r="D4" s="50"/>
      <c r="E4" s="50"/>
      <c r="F4" s="50"/>
      <c r="G4" s="54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</row>
    <row r="5" spans="1:28" s="45" customFormat="1" ht="15.6" x14ac:dyDescent="0.3">
      <c r="A5" s="63" t="s">
        <v>18</v>
      </c>
      <c r="B5" s="53"/>
      <c r="C5" s="63" t="s">
        <v>402</v>
      </c>
      <c r="D5" s="50"/>
      <c r="E5" s="50"/>
      <c r="F5" s="50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2"/>
      <c r="AB5" s="52"/>
    </row>
    <row r="6" spans="1:28" s="45" customFormat="1" ht="15.6" x14ac:dyDescent="0.3">
      <c r="A6" s="63" t="s">
        <v>19</v>
      </c>
      <c r="B6" s="53"/>
      <c r="C6" s="67" t="s">
        <v>403</v>
      </c>
      <c r="D6" s="50"/>
      <c r="E6" s="50"/>
      <c r="F6" s="50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2"/>
      <c r="AB6" s="52"/>
    </row>
    <row r="7" spans="1:28" s="45" customFormat="1" ht="24" thickBot="1" x14ac:dyDescent="0.5">
      <c r="A7" s="442"/>
      <c r="B7" s="443"/>
      <c r="C7" s="443"/>
      <c r="D7" s="443"/>
      <c r="E7" s="443"/>
      <c r="F7" s="444"/>
      <c r="G7" s="444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2"/>
      <c r="AB7" s="52"/>
    </row>
    <row r="8" spans="1:28" ht="29.4" thickBot="1" x14ac:dyDescent="0.35">
      <c r="A8" s="11" t="s">
        <v>138</v>
      </c>
      <c r="B8" s="12" t="s">
        <v>132</v>
      </c>
      <c r="C8" s="11" t="s">
        <v>145</v>
      </c>
      <c r="D8" s="12" t="s">
        <v>43</v>
      </c>
      <c r="E8" s="13" t="s">
        <v>15</v>
      </c>
      <c r="F8" s="12" t="s">
        <v>16</v>
      </c>
      <c r="G8" s="29" t="s">
        <v>17</v>
      </c>
      <c r="H8" s="26" t="s">
        <v>126</v>
      </c>
      <c r="I8" s="27" t="s">
        <v>127</v>
      </c>
      <c r="J8" s="26" t="s">
        <v>128</v>
      </c>
      <c r="K8" s="27" t="s">
        <v>163</v>
      </c>
      <c r="L8" s="26" t="s">
        <v>164</v>
      </c>
      <c r="M8" s="27" t="s">
        <v>130</v>
      </c>
      <c r="N8" s="27" t="s">
        <v>232</v>
      </c>
      <c r="O8" s="27" t="s">
        <v>233</v>
      </c>
      <c r="P8" s="27" t="s">
        <v>234</v>
      </c>
      <c r="Q8" s="27" t="s">
        <v>235</v>
      </c>
      <c r="R8" s="27" t="s">
        <v>236</v>
      </c>
      <c r="S8" s="27" t="s">
        <v>399</v>
      </c>
      <c r="T8" s="26" t="s">
        <v>238</v>
      </c>
      <c r="U8" s="27" t="s">
        <v>239</v>
      </c>
      <c r="V8" s="27" t="s">
        <v>240</v>
      </c>
      <c r="W8" s="27" t="s">
        <v>400</v>
      </c>
      <c r="X8" s="26" t="s">
        <v>401</v>
      </c>
      <c r="Y8" s="27" t="s">
        <v>130</v>
      </c>
      <c r="Z8" s="12" t="s">
        <v>157</v>
      </c>
      <c r="AA8" s="12" t="s">
        <v>157</v>
      </c>
      <c r="AB8" s="12" t="s">
        <v>158</v>
      </c>
    </row>
    <row r="9" spans="1:28" s="37" customFormat="1" ht="15" thickBot="1" x14ac:dyDescent="0.35">
      <c r="A9" s="96" t="s">
        <v>4</v>
      </c>
      <c r="B9" s="93" t="s">
        <v>91</v>
      </c>
      <c r="C9" s="92"/>
      <c r="D9" s="93" t="s">
        <v>206</v>
      </c>
      <c r="E9" s="94"/>
      <c r="F9" s="94">
        <f>SUM(H9:AB9)</f>
        <v>0</v>
      </c>
      <c r="G9" s="94">
        <f>E9-F9</f>
        <v>0</v>
      </c>
      <c r="H9" s="125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44"/>
      <c r="AB9" s="44"/>
    </row>
    <row r="10" spans="1:28" s="37" customFormat="1" ht="15" thickBot="1" x14ac:dyDescent="0.35">
      <c r="A10" s="96" t="s">
        <v>49</v>
      </c>
      <c r="B10" s="93" t="s">
        <v>200</v>
      </c>
      <c r="C10" s="97"/>
      <c r="D10" s="93" t="s">
        <v>207</v>
      </c>
      <c r="E10" s="94"/>
      <c r="F10" s="94">
        <f t="shared" ref="F10:F16" si="0">SUM(H10:AB10)</f>
        <v>0</v>
      </c>
      <c r="G10" s="94">
        <f t="shared" ref="G10:G16" si="1">E10-F10</f>
        <v>0</v>
      </c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44"/>
      <c r="AB10" s="44"/>
    </row>
    <row r="11" spans="1:28" s="37" customFormat="1" ht="15" thickBot="1" x14ac:dyDescent="0.35">
      <c r="A11" s="96" t="s">
        <v>50</v>
      </c>
      <c r="B11" s="93" t="s">
        <v>201</v>
      </c>
      <c r="C11" s="97"/>
      <c r="D11" s="93" t="s">
        <v>208</v>
      </c>
      <c r="E11" s="94"/>
      <c r="F11" s="94">
        <f t="shared" si="0"/>
        <v>0</v>
      </c>
      <c r="G11" s="94">
        <f t="shared" si="1"/>
        <v>0</v>
      </c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44"/>
      <c r="AB11" s="44"/>
    </row>
    <row r="12" spans="1:28" s="37" customFormat="1" ht="15" thickBot="1" x14ac:dyDescent="0.35">
      <c r="A12" s="96" t="s">
        <v>197</v>
      </c>
      <c r="B12" s="93" t="s">
        <v>202</v>
      </c>
      <c r="C12" s="97"/>
      <c r="D12" s="93" t="s">
        <v>209</v>
      </c>
      <c r="E12" s="94"/>
      <c r="F12" s="94">
        <f t="shared" si="0"/>
        <v>0</v>
      </c>
      <c r="G12" s="94">
        <f t="shared" si="1"/>
        <v>0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44"/>
      <c r="AB12" s="44"/>
    </row>
    <row r="13" spans="1:28" s="37" customFormat="1" ht="15" thickBot="1" x14ac:dyDescent="0.35">
      <c r="A13" s="96" t="s">
        <v>198</v>
      </c>
      <c r="B13" s="93" t="s">
        <v>203</v>
      </c>
      <c r="C13" s="97"/>
      <c r="D13" s="93" t="s">
        <v>210</v>
      </c>
      <c r="E13" s="94"/>
      <c r="F13" s="94">
        <f t="shared" si="0"/>
        <v>0</v>
      </c>
      <c r="G13" s="94">
        <f t="shared" si="1"/>
        <v>0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44"/>
      <c r="AB13" s="44"/>
    </row>
    <row r="14" spans="1:28" s="37" customFormat="1" ht="15" thickBot="1" x14ac:dyDescent="0.35">
      <c r="A14" s="96" t="s">
        <v>39</v>
      </c>
      <c r="B14" s="93" t="s">
        <v>204</v>
      </c>
      <c r="C14" s="97"/>
      <c r="D14" s="93" t="s">
        <v>211</v>
      </c>
      <c r="E14" s="94"/>
      <c r="F14" s="94">
        <f t="shared" si="0"/>
        <v>0</v>
      </c>
      <c r="G14" s="94">
        <f t="shared" si="1"/>
        <v>0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44"/>
      <c r="AB14" s="44"/>
    </row>
    <row r="15" spans="1:28" s="37" customFormat="1" ht="15" thickBot="1" x14ac:dyDescent="0.35">
      <c r="A15" s="96" t="s">
        <v>199</v>
      </c>
      <c r="B15" s="93" t="s">
        <v>205</v>
      </c>
      <c r="C15" s="97"/>
      <c r="D15" s="93" t="s">
        <v>212</v>
      </c>
      <c r="E15" s="94"/>
      <c r="F15" s="94">
        <f t="shared" si="0"/>
        <v>0</v>
      </c>
      <c r="G15" s="94">
        <f t="shared" si="1"/>
        <v>0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44"/>
      <c r="AB15" s="44"/>
    </row>
    <row r="16" spans="1:28" s="37" customFormat="1" ht="15" thickBot="1" x14ac:dyDescent="0.35">
      <c r="A16" s="96" t="s">
        <v>54</v>
      </c>
      <c r="B16" s="93" t="s">
        <v>192</v>
      </c>
      <c r="C16" s="97"/>
      <c r="D16" s="93" t="s">
        <v>213</v>
      </c>
      <c r="E16" s="94"/>
      <c r="F16" s="94">
        <f t="shared" si="0"/>
        <v>0</v>
      </c>
      <c r="G16" s="94">
        <f t="shared" si="1"/>
        <v>0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44"/>
      <c r="AB16" s="44"/>
    </row>
    <row r="17" spans="1:28" ht="15" thickBot="1" x14ac:dyDescent="0.35">
      <c r="A17" s="154"/>
      <c r="B17" s="155"/>
      <c r="C17" s="156"/>
      <c r="D17" s="155"/>
      <c r="E17" s="157"/>
      <c r="F17" s="157"/>
      <c r="G17" s="157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45"/>
      <c r="AB17" s="45"/>
    </row>
    <row r="18" spans="1:28" s="14" customFormat="1" ht="15" thickBot="1" x14ac:dyDescent="0.35">
      <c r="A18" s="98" t="s">
        <v>46</v>
      </c>
      <c r="B18" s="43"/>
      <c r="C18" s="64"/>
      <c r="D18" s="43"/>
      <c r="E18" s="87">
        <f>SUM(E9:E17)</f>
        <v>0</v>
      </c>
      <c r="F18" s="87">
        <f>SUM(F9:F17)</f>
        <v>0</v>
      </c>
      <c r="G18" s="87">
        <f>SUM(G9:G17)</f>
        <v>0</v>
      </c>
      <c r="H18" s="87">
        <f>SUM(H9:H16)</f>
        <v>0</v>
      </c>
      <c r="I18" s="87">
        <f>SUM(I9:I16)</f>
        <v>0</v>
      </c>
      <c r="J18" s="87">
        <f>SUM(J9:J16)</f>
        <v>0</v>
      </c>
      <c r="K18" s="87">
        <f t="shared" ref="K18:AB18" si="2">SUM(K9:K17)</f>
        <v>0</v>
      </c>
      <c r="L18" s="87">
        <f t="shared" si="2"/>
        <v>0</v>
      </c>
      <c r="M18" s="87">
        <f t="shared" si="2"/>
        <v>0</v>
      </c>
      <c r="N18" s="87">
        <f t="shared" si="2"/>
        <v>0</v>
      </c>
      <c r="O18" s="87">
        <f t="shared" si="2"/>
        <v>0</v>
      </c>
      <c r="P18" s="87">
        <f t="shared" si="2"/>
        <v>0</v>
      </c>
      <c r="Q18" s="87">
        <f t="shared" si="2"/>
        <v>0</v>
      </c>
      <c r="R18" s="87">
        <f t="shared" si="2"/>
        <v>0</v>
      </c>
      <c r="S18" s="87">
        <f t="shared" si="2"/>
        <v>0</v>
      </c>
      <c r="T18" s="87">
        <f t="shared" si="2"/>
        <v>0</v>
      </c>
      <c r="U18" s="87">
        <f t="shared" si="2"/>
        <v>0</v>
      </c>
      <c r="V18" s="87">
        <f t="shared" si="2"/>
        <v>0</v>
      </c>
      <c r="W18" s="87">
        <f t="shared" si="2"/>
        <v>0</v>
      </c>
      <c r="X18" s="87">
        <f t="shared" si="2"/>
        <v>0</v>
      </c>
      <c r="Y18" s="87">
        <f t="shared" si="2"/>
        <v>0</v>
      </c>
      <c r="Z18" s="87">
        <f t="shared" si="2"/>
        <v>0</v>
      </c>
      <c r="AA18" s="87">
        <f t="shared" si="2"/>
        <v>0</v>
      </c>
      <c r="AB18" s="87">
        <f t="shared" si="2"/>
        <v>0</v>
      </c>
    </row>
    <row r="19" spans="1:28" x14ac:dyDescent="0.3">
      <c r="E19" s="46"/>
      <c r="F19" s="46"/>
      <c r="G19" s="46"/>
      <c r="AA19" s="30"/>
      <c r="AB19" s="30"/>
    </row>
    <row r="20" spans="1:28" x14ac:dyDescent="0.3">
      <c r="C20" s="46"/>
      <c r="D20" s="46"/>
      <c r="E20" s="46"/>
      <c r="F20" s="44"/>
      <c r="G20" s="44"/>
      <c r="L20" s="30"/>
      <c r="Q20" s="30"/>
      <c r="R20" s="30"/>
      <c r="X20" s="30"/>
      <c r="AA20" s="30"/>
      <c r="AB20" s="30"/>
    </row>
    <row r="21" spans="1:28" x14ac:dyDescent="0.3">
      <c r="C21" s="46"/>
      <c r="D21" s="46"/>
      <c r="E21" s="46"/>
      <c r="F21" s="44"/>
      <c r="G21" s="44"/>
      <c r="Q21" s="30"/>
      <c r="AA21" s="30"/>
      <c r="AB21" s="30"/>
    </row>
    <row r="22" spans="1:28" x14ac:dyDescent="0.3">
      <c r="C22" s="46"/>
      <c r="D22" s="46"/>
      <c r="E22" s="46"/>
      <c r="F22" s="44"/>
      <c r="G22" s="44"/>
      <c r="AA22" s="30"/>
      <c r="AB22" s="30"/>
    </row>
    <row r="23" spans="1:28" x14ac:dyDescent="0.3">
      <c r="C23" s="46"/>
      <c r="D23" s="46"/>
      <c r="E23" s="46"/>
      <c r="F23" s="44"/>
      <c r="G23" s="44"/>
      <c r="AA23" s="30"/>
      <c r="AB23" s="30"/>
    </row>
    <row r="24" spans="1:28" x14ac:dyDescent="0.3">
      <c r="C24" s="46"/>
      <c r="D24" s="46"/>
      <c r="E24" s="46"/>
      <c r="F24" s="44"/>
      <c r="G24" s="44"/>
      <c r="AA24" s="30"/>
      <c r="AB24" s="30"/>
    </row>
    <row r="25" spans="1:28" x14ac:dyDescent="0.3">
      <c r="C25" s="46"/>
      <c r="D25" s="46"/>
      <c r="E25" s="46"/>
      <c r="F25" s="44"/>
      <c r="G25" s="44"/>
      <c r="AA25" s="30"/>
      <c r="AB25" s="30"/>
    </row>
    <row r="26" spans="1:28" x14ac:dyDescent="0.3">
      <c r="C26" s="46"/>
      <c r="D26" s="46"/>
      <c r="E26" s="46"/>
      <c r="F26" s="44"/>
      <c r="G26" s="44"/>
      <c r="AA26" s="30"/>
      <c r="AB26" s="30"/>
    </row>
    <row r="27" spans="1:28" x14ac:dyDescent="0.3">
      <c r="C27" s="46"/>
      <c r="D27" s="46"/>
      <c r="E27" s="46"/>
      <c r="F27" s="44"/>
      <c r="G27" s="44"/>
      <c r="AA27" s="30"/>
      <c r="AB27" s="30"/>
    </row>
    <row r="28" spans="1:28" x14ac:dyDescent="0.3">
      <c r="C28" s="46"/>
      <c r="D28" s="46"/>
      <c r="E28" s="46"/>
      <c r="F28" s="44"/>
      <c r="G28" s="44"/>
      <c r="AA28" s="30"/>
      <c r="AB28" s="30"/>
    </row>
    <row r="29" spans="1:28" x14ac:dyDescent="0.3">
      <c r="C29" s="46"/>
      <c r="D29" s="46"/>
      <c r="E29" s="46"/>
      <c r="F29" s="44"/>
      <c r="G29" s="44"/>
      <c r="AA29" s="30"/>
      <c r="AB29" s="30"/>
    </row>
    <row r="30" spans="1:28" x14ac:dyDescent="0.3">
      <c r="C30" s="46"/>
      <c r="D30" s="46"/>
      <c r="E30" s="46"/>
      <c r="F30" s="44"/>
      <c r="G30" s="44"/>
      <c r="AA30" s="30"/>
      <c r="AB30" s="30"/>
    </row>
    <row r="31" spans="1:28" x14ac:dyDescent="0.3">
      <c r="C31" s="46"/>
      <c r="D31" s="46"/>
      <c r="E31" s="46"/>
      <c r="F31" s="44"/>
      <c r="G31" s="44"/>
      <c r="AA31" s="30"/>
      <c r="AB31" s="30"/>
    </row>
    <row r="32" spans="1:28" x14ac:dyDescent="0.3">
      <c r="C32" s="46"/>
      <c r="D32" s="46"/>
      <c r="E32" s="46"/>
      <c r="F32" s="44"/>
      <c r="G32" s="44"/>
    </row>
    <row r="33" spans="3:7" x14ac:dyDescent="0.3">
      <c r="C33" s="46"/>
      <c r="D33" s="46"/>
      <c r="E33" s="46"/>
      <c r="F33" s="44"/>
      <c r="G33" s="44"/>
    </row>
    <row r="34" spans="3:7" x14ac:dyDescent="0.3">
      <c r="C34" s="46"/>
      <c r="D34" s="46"/>
      <c r="E34" s="46"/>
      <c r="F34" s="44"/>
      <c r="G34" s="44"/>
    </row>
    <row r="35" spans="3:7" x14ac:dyDescent="0.3">
      <c r="C35" s="46"/>
      <c r="D35" s="46"/>
      <c r="E35" s="46"/>
      <c r="F35" s="44"/>
      <c r="G35" s="44"/>
    </row>
    <row r="36" spans="3:7" x14ac:dyDescent="0.3">
      <c r="E36" s="46"/>
      <c r="F36" s="46"/>
      <c r="G36" s="46"/>
    </row>
    <row r="37" spans="3:7" x14ac:dyDescent="0.3">
      <c r="E37" s="46"/>
      <c r="F37" s="46"/>
      <c r="G37" s="46"/>
    </row>
    <row r="38" spans="3:7" x14ac:dyDescent="0.3">
      <c r="E38" s="46"/>
      <c r="F38" s="46"/>
      <c r="G38" s="46"/>
    </row>
    <row r="39" spans="3:7" x14ac:dyDescent="0.3">
      <c r="E39" s="46"/>
      <c r="F39" s="46"/>
      <c r="G39" s="46"/>
    </row>
    <row r="40" spans="3:7" x14ac:dyDescent="0.3">
      <c r="E40" s="46"/>
      <c r="F40" s="46"/>
      <c r="G40" s="46"/>
    </row>
    <row r="41" spans="3:7" x14ac:dyDescent="0.3">
      <c r="F41" s="46"/>
      <c r="G41" s="46"/>
    </row>
    <row r="42" spans="3:7" x14ac:dyDescent="0.3">
      <c r="F42" s="46"/>
      <c r="G42" s="46"/>
    </row>
    <row r="43" spans="3:7" x14ac:dyDescent="0.3">
      <c r="F43" s="46"/>
      <c r="G43" s="46"/>
    </row>
  </sheetData>
  <mergeCells count="1">
    <mergeCell ref="A7:G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theme="2"/>
  </sheetPr>
  <dimension ref="A1:AL140"/>
  <sheetViews>
    <sheetView workbookViewId="0">
      <selection activeCell="M8" sqref="M8"/>
    </sheetView>
  </sheetViews>
  <sheetFormatPr defaultColWidth="9.44140625" defaultRowHeight="14.4" x14ac:dyDescent="0.3"/>
  <cols>
    <col min="1" max="1" width="19.44140625" style="2" customWidth="1"/>
    <col min="2" max="2" width="43.44140625" style="172" customWidth="1"/>
    <col min="3" max="3" width="17.5546875" style="45" customWidth="1"/>
    <col min="4" max="4" width="16.5546875" style="45" customWidth="1"/>
    <col min="5" max="5" width="15.5546875" style="4" customWidth="1"/>
    <col min="6" max="6" width="15.5546875" style="4" hidden="1" customWidth="1"/>
    <col min="7" max="7" width="15.5546875" style="4" customWidth="1"/>
    <col min="8" max="8" width="15.5546875" style="4" hidden="1" customWidth="1"/>
    <col min="9" max="27" width="15.5546875" style="4" customWidth="1"/>
    <col min="28" max="16384" width="9.44140625" style="45"/>
  </cols>
  <sheetData>
    <row r="1" spans="1:38" ht="21" x14ac:dyDescent="0.4">
      <c r="A1" s="47" t="s">
        <v>0</v>
      </c>
      <c r="B1" s="80"/>
      <c r="C1" s="48" t="s">
        <v>20</v>
      </c>
      <c r="D1" s="47"/>
      <c r="E1" s="47"/>
      <c r="F1" s="47"/>
      <c r="G1" s="47"/>
      <c r="H1" s="47"/>
      <c r="I1" s="47" t="str">
        <f>$C$1</f>
        <v xml:space="preserve">Adult Education </v>
      </c>
      <c r="J1" s="47"/>
      <c r="K1" s="47"/>
      <c r="L1" s="47"/>
      <c r="M1" s="49"/>
      <c r="N1" s="49"/>
      <c r="O1" s="49"/>
      <c r="P1" s="49"/>
      <c r="Q1" s="54"/>
      <c r="R1" s="54"/>
      <c r="S1" s="54"/>
      <c r="T1" s="54"/>
      <c r="U1" s="48"/>
      <c r="V1" s="48"/>
      <c r="W1" s="47" t="str">
        <f>$C$1</f>
        <v xml:space="preserve">Adult Education </v>
      </c>
      <c r="X1" s="47"/>
      <c r="Y1" s="47"/>
      <c r="Z1" s="47"/>
      <c r="AA1" s="47"/>
    </row>
    <row r="2" spans="1:38" s="3" customFormat="1" ht="21" x14ac:dyDescent="0.4">
      <c r="A2" s="47" t="s">
        <v>147</v>
      </c>
      <c r="B2" s="170"/>
      <c r="C2" s="47" t="s">
        <v>429</v>
      </c>
      <c r="D2" s="47"/>
      <c r="E2" s="15"/>
      <c r="F2" s="15"/>
      <c r="G2" s="15"/>
      <c r="H2" s="15"/>
      <c r="I2" s="128" t="str">
        <f>"FY"&amp;$C$4</f>
        <v>FY2019-20</v>
      </c>
      <c r="J2" s="128"/>
      <c r="K2" s="128"/>
      <c r="L2" s="128"/>
      <c r="M2" s="15"/>
      <c r="N2" s="15"/>
      <c r="O2" s="15"/>
      <c r="P2" s="15"/>
      <c r="Q2" s="15"/>
      <c r="R2" s="15"/>
      <c r="S2" s="15"/>
      <c r="T2" s="15"/>
      <c r="U2" s="15"/>
      <c r="V2" s="15"/>
      <c r="W2" s="128" t="str">
        <f>"FY"&amp;$C$4</f>
        <v>FY2019-20</v>
      </c>
      <c r="X2" s="128"/>
      <c r="Y2" s="15"/>
      <c r="Z2" s="15"/>
      <c r="AA2" s="15"/>
    </row>
    <row r="3" spans="1:38" ht="15.6" x14ac:dyDescent="0.3">
      <c r="A3" s="50" t="s">
        <v>1</v>
      </c>
      <c r="B3" s="80"/>
      <c r="C3" s="51">
        <v>5002</v>
      </c>
      <c r="D3" s="50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38" ht="15.6" x14ac:dyDescent="0.3">
      <c r="A4" s="50" t="s">
        <v>2</v>
      </c>
      <c r="B4" s="80"/>
      <c r="C4" s="51" t="s">
        <v>398</v>
      </c>
      <c r="D4" s="50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38" ht="15.6" x14ac:dyDescent="0.3">
      <c r="A5" s="50"/>
      <c r="B5" s="80"/>
      <c r="C5" s="63"/>
      <c r="D5" s="50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38" ht="15.6" x14ac:dyDescent="0.3">
      <c r="A6" s="50" t="s">
        <v>19</v>
      </c>
      <c r="B6" s="80"/>
      <c r="C6" s="67" t="s">
        <v>403</v>
      </c>
      <c r="D6" s="50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38" ht="21.6" thickBot="1" x14ac:dyDescent="0.45">
      <c r="A7" s="47"/>
      <c r="B7" s="80"/>
      <c r="C7" s="19"/>
      <c r="D7" s="19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38" s="5" customFormat="1" ht="43.8" thickBot="1" x14ac:dyDescent="0.35">
      <c r="A8" s="265" t="s">
        <v>138</v>
      </c>
      <c r="B8" s="266" t="s">
        <v>132</v>
      </c>
      <c r="C8" s="266" t="s">
        <v>430</v>
      </c>
      <c r="D8" s="264" t="s">
        <v>449</v>
      </c>
      <c r="E8" s="55" t="s">
        <v>431</v>
      </c>
      <c r="F8" s="55" t="s">
        <v>451</v>
      </c>
      <c r="G8" s="55" t="s">
        <v>450</v>
      </c>
      <c r="H8" s="55" t="s">
        <v>452</v>
      </c>
      <c r="I8" s="301" t="s">
        <v>440</v>
      </c>
      <c r="J8" s="270" t="s">
        <v>451</v>
      </c>
      <c r="K8" s="281" t="s">
        <v>460</v>
      </c>
      <c r="L8" s="264" t="s">
        <v>452</v>
      </c>
      <c r="M8" s="301" t="s">
        <v>441</v>
      </c>
      <c r="N8" s="301" t="s">
        <v>433</v>
      </c>
      <c r="O8" s="27" t="s">
        <v>442</v>
      </c>
      <c r="P8" s="27" t="s">
        <v>434</v>
      </c>
      <c r="Q8" s="27" t="s">
        <v>443</v>
      </c>
      <c r="R8" s="27" t="s">
        <v>435</v>
      </c>
      <c r="S8" s="27" t="s">
        <v>444</v>
      </c>
      <c r="T8" s="27" t="s">
        <v>436</v>
      </c>
      <c r="U8" s="27" t="s">
        <v>445</v>
      </c>
      <c r="V8" s="27" t="s">
        <v>437</v>
      </c>
      <c r="W8" s="26" t="s">
        <v>446</v>
      </c>
      <c r="X8" s="27" t="s">
        <v>438</v>
      </c>
      <c r="Y8" s="27" t="s">
        <v>447</v>
      </c>
      <c r="Z8" s="27" t="s">
        <v>432</v>
      </c>
      <c r="AA8" s="27" t="s">
        <v>448</v>
      </c>
    </row>
    <row r="9" spans="1:38" s="23" customFormat="1" x14ac:dyDescent="0.3">
      <c r="A9" s="263" t="s">
        <v>3</v>
      </c>
      <c r="B9" s="271" t="s">
        <v>79</v>
      </c>
      <c r="C9" s="272">
        <v>249701.6</v>
      </c>
      <c r="D9" s="273">
        <v>45642</v>
      </c>
      <c r="E9" s="307">
        <v>103212.64</v>
      </c>
      <c r="F9" s="307">
        <f>C9-E9</f>
        <v>146488.96000000002</v>
      </c>
      <c r="G9" s="307">
        <v>17057</v>
      </c>
      <c r="H9" s="307">
        <f>D9-G9</f>
        <v>28585</v>
      </c>
      <c r="I9" s="311">
        <v>124969.61</v>
      </c>
      <c r="J9" s="311">
        <f>C9-I9</f>
        <v>124731.99</v>
      </c>
      <c r="K9" s="313">
        <v>23619</v>
      </c>
      <c r="L9" s="313">
        <f>D9-K9</f>
        <v>22023</v>
      </c>
      <c r="M9" s="311"/>
      <c r="N9" s="311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23" customFormat="1" x14ac:dyDescent="0.3">
      <c r="A10" s="179" t="s">
        <v>5</v>
      </c>
      <c r="B10" s="274" t="s">
        <v>373</v>
      </c>
      <c r="C10" s="272">
        <v>46911</v>
      </c>
      <c r="D10" s="269">
        <v>0</v>
      </c>
      <c r="E10" s="307">
        <v>12000</v>
      </c>
      <c r="F10" s="307">
        <f t="shared" ref="F10:F31" si="0">C10-E10</f>
        <v>34911</v>
      </c>
      <c r="G10" s="307">
        <v>0</v>
      </c>
      <c r="H10" s="307">
        <f>D10-G10</f>
        <v>0</v>
      </c>
      <c r="I10" s="311"/>
      <c r="J10" s="311">
        <f t="shared" ref="J10:J31" si="1">C10-I10</f>
        <v>46911</v>
      </c>
      <c r="K10" s="313"/>
      <c r="L10" s="313">
        <f t="shared" ref="L10:L31" si="2">D10-K10</f>
        <v>0</v>
      </c>
      <c r="M10" s="311">
        <v>20106</v>
      </c>
      <c r="N10" s="311">
        <v>0</v>
      </c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23" customFormat="1" x14ac:dyDescent="0.3">
      <c r="A11" s="179" t="s">
        <v>73</v>
      </c>
      <c r="B11" s="274" t="s">
        <v>244</v>
      </c>
      <c r="C11" s="272">
        <v>141890</v>
      </c>
      <c r="D11" s="269">
        <v>22600</v>
      </c>
      <c r="E11" s="307">
        <v>50503.92</v>
      </c>
      <c r="F11" s="307">
        <f t="shared" si="0"/>
        <v>91386.08</v>
      </c>
      <c r="G11" s="307">
        <v>6123</v>
      </c>
      <c r="H11" s="307">
        <f>D11-G11</f>
        <v>16477</v>
      </c>
      <c r="I11" s="311">
        <v>63100.81</v>
      </c>
      <c r="J11" s="311">
        <f t="shared" si="1"/>
        <v>78789.19</v>
      </c>
      <c r="K11" s="313">
        <v>6942</v>
      </c>
      <c r="L11" s="313">
        <f t="shared" si="2"/>
        <v>15658</v>
      </c>
      <c r="M11" s="311"/>
      <c r="N11" s="311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23" customFormat="1" x14ac:dyDescent="0.3">
      <c r="A12" s="179" t="s">
        <v>29</v>
      </c>
      <c r="B12" s="274" t="s">
        <v>80</v>
      </c>
      <c r="C12" s="272">
        <v>74702</v>
      </c>
      <c r="D12" s="269">
        <v>28800</v>
      </c>
      <c r="E12" s="307">
        <v>33887.410000000003</v>
      </c>
      <c r="F12" s="307">
        <f t="shared" si="0"/>
        <v>40814.589999999997</v>
      </c>
      <c r="G12" s="307">
        <v>4047</v>
      </c>
      <c r="H12" s="307">
        <f t="shared" ref="H12:H31" si="3">D12-G12</f>
        <v>24753</v>
      </c>
      <c r="I12" s="311">
        <v>40665.019999999997</v>
      </c>
      <c r="J12" s="311">
        <f t="shared" si="1"/>
        <v>34036.980000000003</v>
      </c>
      <c r="K12" s="313">
        <v>4407</v>
      </c>
      <c r="L12" s="313">
        <f t="shared" si="2"/>
        <v>24393</v>
      </c>
      <c r="M12" s="311">
        <v>47442.75</v>
      </c>
      <c r="N12" s="311">
        <v>4709</v>
      </c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23" customFormat="1" x14ac:dyDescent="0.3">
      <c r="A13" s="179" t="s">
        <v>74</v>
      </c>
      <c r="B13" s="274" t="s">
        <v>374</v>
      </c>
      <c r="C13" s="272">
        <v>58608</v>
      </c>
      <c r="D13" s="269">
        <v>4500</v>
      </c>
      <c r="E13" s="307"/>
      <c r="F13" s="307">
        <f t="shared" si="0"/>
        <v>58608</v>
      </c>
      <c r="G13" s="307">
        <v>0</v>
      </c>
      <c r="H13" s="307">
        <f t="shared" si="3"/>
        <v>4500</v>
      </c>
      <c r="I13" s="311"/>
      <c r="J13" s="311">
        <f t="shared" si="1"/>
        <v>58608</v>
      </c>
      <c r="K13" s="313"/>
      <c r="L13" s="313">
        <f t="shared" si="2"/>
        <v>4500</v>
      </c>
      <c r="M13" s="311"/>
      <c r="N13" s="311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s="23" customFormat="1" x14ac:dyDescent="0.3">
      <c r="A14" s="179" t="s">
        <v>6</v>
      </c>
      <c r="B14" s="274" t="s">
        <v>454</v>
      </c>
      <c r="C14" s="272">
        <v>55172</v>
      </c>
      <c r="D14" s="269">
        <v>0</v>
      </c>
      <c r="E14" s="307">
        <v>13792.99</v>
      </c>
      <c r="F14" s="307">
        <f t="shared" si="0"/>
        <v>41379.01</v>
      </c>
      <c r="G14" s="307">
        <v>0</v>
      </c>
      <c r="H14" s="307">
        <f t="shared" si="3"/>
        <v>0</v>
      </c>
      <c r="I14" s="311">
        <v>35585.99</v>
      </c>
      <c r="J14" s="311">
        <f t="shared" si="1"/>
        <v>19586.010000000002</v>
      </c>
      <c r="K14" s="313">
        <v>0</v>
      </c>
      <c r="L14" s="313">
        <f t="shared" si="2"/>
        <v>0</v>
      </c>
      <c r="M14" s="311"/>
      <c r="N14" s="311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s="23" customFormat="1" x14ac:dyDescent="0.3">
      <c r="A15" s="179" t="s">
        <v>30</v>
      </c>
      <c r="B15" s="274" t="s">
        <v>375</v>
      </c>
      <c r="C15" s="272">
        <v>42790</v>
      </c>
      <c r="D15" s="269">
        <v>0</v>
      </c>
      <c r="E15" s="307"/>
      <c r="F15" s="307">
        <f t="shared" si="0"/>
        <v>42790</v>
      </c>
      <c r="G15" s="307">
        <v>0</v>
      </c>
      <c r="H15" s="307">
        <f t="shared" si="3"/>
        <v>0</v>
      </c>
      <c r="I15" s="311"/>
      <c r="J15" s="311">
        <f t="shared" si="1"/>
        <v>42790</v>
      </c>
      <c r="K15" s="313"/>
      <c r="L15" s="313">
        <f t="shared" si="2"/>
        <v>0</v>
      </c>
      <c r="M15" s="311">
        <v>13728</v>
      </c>
      <c r="N15" s="311">
        <v>0</v>
      </c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s="23" customFormat="1" x14ac:dyDescent="0.3">
      <c r="A16" s="179" t="s">
        <v>31</v>
      </c>
      <c r="B16" s="274" t="s">
        <v>376</v>
      </c>
      <c r="C16" s="272">
        <v>156616</v>
      </c>
      <c r="D16" s="269">
        <v>0</v>
      </c>
      <c r="E16" s="307">
        <v>48928</v>
      </c>
      <c r="F16" s="307">
        <f t="shared" si="0"/>
        <v>107688</v>
      </c>
      <c r="G16" s="307">
        <v>0</v>
      </c>
      <c r="H16" s="307">
        <f t="shared" si="3"/>
        <v>0</v>
      </c>
      <c r="I16" s="311">
        <v>61781</v>
      </c>
      <c r="J16" s="311">
        <f t="shared" si="1"/>
        <v>94835</v>
      </c>
      <c r="K16" s="313">
        <v>0</v>
      </c>
      <c r="L16" s="313">
        <f t="shared" si="2"/>
        <v>0</v>
      </c>
      <c r="M16" s="311"/>
      <c r="N16" s="311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s="23" customFormat="1" x14ac:dyDescent="0.3">
      <c r="A17" s="179" t="s">
        <v>67</v>
      </c>
      <c r="B17" s="274" t="s">
        <v>377</v>
      </c>
      <c r="C17" s="272">
        <v>42790</v>
      </c>
      <c r="D17" s="269">
        <v>13415</v>
      </c>
      <c r="E17" s="307">
        <v>16760.09</v>
      </c>
      <c r="F17" s="307">
        <f t="shared" si="0"/>
        <v>26029.91</v>
      </c>
      <c r="G17" s="307">
        <v>4362</v>
      </c>
      <c r="H17" s="307">
        <f t="shared" si="3"/>
        <v>9053</v>
      </c>
      <c r="I17" s="311">
        <v>19979.599999999999</v>
      </c>
      <c r="J17" s="311">
        <f t="shared" si="1"/>
        <v>22810.400000000001</v>
      </c>
      <c r="K17" s="313">
        <v>5717</v>
      </c>
      <c r="L17" s="313">
        <f t="shared" si="2"/>
        <v>7698</v>
      </c>
      <c r="M17" s="311">
        <v>23519.11</v>
      </c>
      <c r="N17" s="311">
        <v>6027</v>
      </c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s="23" customFormat="1" x14ac:dyDescent="0.3">
      <c r="A18" s="179" t="s">
        <v>332</v>
      </c>
      <c r="B18" s="274" t="s">
        <v>333</v>
      </c>
      <c r="C18" s="272">
        <v>42790</v>
      </c>
      <c r="D18" s="269">
        <v>0</v>
      </c>
      <c r="E18" s="307">
        <v>42790</v>
      </c>
      <c r="F18" s="307">
        <f t="shared" si="0"/>
        <v>0</v>
      </c>
      <c r="G18" s="307">
        <v>0</v>
      </c>
      <c r="H18" s="307">
        <f t="shared" si="3"/>
        <v>0</v>
      </c>
      <c r="I18" s="311">
        <v>26177.02</v>
      </c>
      <c r="J18" s="311">
        <f t="shared" si="1"/>
        <v>16612.98</v>
      </c>
      <c r="K18" s="313">
        <v>0</v>
      </c>
      <c r="L18" s="313">
        <f t="shared" si="2"/>
        <v>0</v>
      </c>
      <c r="M18" s="311"/>
      <c r="N18" s="311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s="23" customFormat="1" x14ac:dyDescent="0.3">
      <c r="A19" s="179" t="s">
        <v>133</v>
      </c>
      <c r="B19" s="274" t="s">
        <v>453</v>
      </c>
      <c r="C19" s="272">
        <v>103448</v>
      </c>
      <c r="D19" s="269">
        <v>39854</v>
      </c>
      <c r="E19" s="307">
        <v>60048.639999999999</v>
      </c>
      <c r="F19" s="307">
        <f t="shared" si="0"/>
        <v>43399.360000000001</v>
      </c>
      <c r="G19" s="307">
        <v>16595</v>
      </c>
      <c r="H19" s="307">
        <f t="shared" si="3"/>
        <v>23259</v>
      </c>
      <c r="I19" s="311">
        <v>60048.639999999999</v>
      </c>
      <c r="J19" s="311">
        <f t="shared" si="1"/>
        <v>43399.360000000001</v>
      </c>
      <c r="K19" s="313">
        <v>16595</v>
      </c>
      <c r="L19" s="313">
        <f t="shared" si="2"/>
        <v>23259</v>
      </c>
      <c r="M19" s="311"/>
      <c r="N19" s="311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s="23" customFormat="1" ht="43.2" x14ac:dyDescent="0.3">
      <c r="A20" s="179" t="s">
        <v>134</v>
      </c>
      <c r="B20" s="274" t="s">
        <v>242</v>
      </c>
      <c r="C20" s="272">
        <v>196267</v>
      </c>
      <c r="D20" s="269">
        <v>0</v>
      </c>
      <c r="E20" s="307"/>
      <c r="F20" s="307">
        <f t="shared" si="0"/>
        <v>196267</v>
      </c>
      <c r="G20" s="307">
        <v>0</v>
      </c>
      <c r="H20" s="307">
        <f t="shared" si="3"/>
        <v>0</v>
      </c>
      <c r="I20" s="311"/>
      <c r="J20" s="311">
        <f t="shared" si="1"/>
        <v>196267</v>
      </c>
      <c r="K20" s="313"/>
      <c r="L20" s="313">
        <f t="shared" si="2"/>
        <v>0</v>
      </c>
      <c r="M20" s="311"/>
      <c r="N20" s="311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s="23" customFormat="1" x14ac:dyDescent="0.3">
      <c r="A21" s="179" t="s">
        <v>331</v>
      </c>
      <c r="B21" s="274" t="s">
        <v>455</v>
      </c>
      <c r="C21" s="272">
        <v>40000</v>
      </c>
      <c r="D21" s="269">
        <v>0</v>
      </c>
      <c r="E21" s="307">
        <v>11194.68</v>
      </c>
      <c r="F21" s="307">
        <f t="shared" si="0"/>
        <v>28805.32</v>
      </c>
      <c r="G21" s="307">
        <v>0</v>
      </c>
      <c r="H21" s="307">
        <f t="shared" si="3"/>
        <v>0</v>
      </c>
      <c r="I21" s="311">
        <v>20853.759999999998</v>
      </c>
      <c r="J21" s="311">
        <f t="shared" si="1"/>
        <v>19146.240000000002</v>
      </c>
      <c r="K21" s="313">
        <v>0</v>
      </c>
      <c r="L21" s="313">
        <f t="shared" si="2"/>
        <v>0</v>
      </c>
      <c r="M21" s="311">
        <v>25909.47</v>
      </c>
      <c r="N21" s="311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s="23" customFormat="1" x14ac:dyDescent="0.3">
      <c r="A22" s="179" t="s">
        <v>7</v>
      </c>
      <c r="B22" s="274" t="s">
        <v>8</v>
      </c>
      <c r="C22" s="272">
        <v>60076</v>
      </c>
      <c r="D22" s="269">
        <v>9835</v>
      </c>
      <c r="E22" s="307"/>
      <c r="F22" s="307">
        <f t="shared" si="0"/>
        <v>60076</v>
      </c>
      <c r="G22" s="307"/>
      <c r="H22" s="307">
        <f t="shared" si="3"/>
        <v>9835</v>
      </c>
      <c r="I22" s="311">
        <v>50281.66</v>
      </c>
      <c r="J22" s="311">
        <f t="shared" si="1"/>
        <v>9794.3399999999965</v>
      </c>
      <c r="K22" s="313">
        <v>1044</v>
      </c>
      <c r="L22" s="313">
        <f t="shared" si="2"/>
        <v>8791</v>
      </c>
      <c r="M22" s="311"/>
      <c r="N22" s="311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s="23" customFormat="1" x14ac:dyDescent="0.3">
      <c r="A23" s="179" t="s">
        <v>68</v>
      </c>
      <c r="B23" s="274" t="s">
        <v>75</v>
      </c>
      <c r="C23" s="272">
        <v>94592</v>
      </c>
      <c r="D23" s="269">
        <v>84000</v>
      </c>
      <c r="E23" s="307">
        <v>29891.74</v>
      </c>
      <c r="F23" s="307">
        <f t="shared" si="0"/>
        <v>64700.259999999995</v>
      </c>
      <c r="G23" s="307">
        <v>29501</v>
      </c>
      <c r="H23" s="307">
        <f>D23-G23</f>
        <v>54499</v>
      </c>
      <c r="I23" s="311">
        <v>36576.69</v>
      </c>
      <c r="J23" s="311">
        <f t="shared" si="1"/>
        <v>58015.31</v>
      </c>
      <c r="K23" s="313">
        <v>29501</v>
      </c>
      <c r="L23" s="313">
        <f t="shared" si="2"/>
        <v>54499</v>
      </c>
      <c r="M23" s="311">
        <v>43261.64</v>
      </c>
      <c r="N23" s="311">
        <v>44981</v>
      </c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s="23" customFormat="1" x14ac:dyDescent="0.3">
      <c r="A24" s="179" t="s">
        <v>9</v>
      </c>
      <c r="B24" s="274" t="s">
        <v>76</v>
      </c>
      <c r="C24" s="272">
        <v>114948</v>
      </c>
      <c r="D24" s="269">
        <v>11000</v>
      </c>
      <c r="E24" s="307">
        <f>9579+9579+9579+1198.28</f>
        <v>29935.279999999999</v>
      </c>
      <c r="F24" s="307">
        <f t="shared" si="0"/>
        <v>85012.72</v>
      </c>
      <c r="G24" s="307"/>
      <c r="H24" s="307">
        <f t="shared" si="3"/>
        <v>11000</v>
      </c>
      <c r="I24" s="311">
        <v>54474</v>
      </c>
      <c r="J24" s="311">
        <f t="shared" si="1"/>
        <v>60474</v>
      </c>
      <c r="K24" s="313">
        <v>4499</v>
      </c>
      <c r="L24" s="313">
        <f t="shared" si="2"/>
        <v>6501</v>
      </c>
      <c r="M24" s="311"/>
      <c r="N24" s="311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s="23" customFormat="1" x14ac:dyDescent="0.3">
      <c r="A25" s="179" t="s">
        <v>10</v>
      </c>
      <c r="B25" s="274" t="s">
        <v>378</v>
      </c>
      <c r="C25" s="272">
        <v>245768</v>
      </c>
      <c r="D25" s="269">
        <v>20040</v>
      </c>
      <c r="E25" s="307">
        <v>209755</v>
      </c>
      <c r="F25" s="307">
        <f t="shared" si="0"/>
        <v>36013</v>
      </c>
      <c r="G25" s="307">
        <v>11645</v>
      </c>
      <c r="H25" s="307">
        <f t="shared" si="3"/>
        <v>8395</v>
      </c>
      <c r="I25" s="311">
        <v>219755</v>
      </c>
      <c r="J25" s="311">
        <f t="shared" si="1"/>
        <v>26013</v>
      </c>
      <c r="K25" s="313">
        <v>17656</v>
      </c>
      <c r="L25" s="313">
        <f t="shared" si="2"/>
        <v>2384</v>
      </c>
      <c r="M25" s="311"/>
      <c r="N25" s="311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s="23" customFormat="1" x14ac:dyDescent="0.3">
      <c r="A26" s="179" t="s">
        <v>11</v>
      </c>
      <c r="B26" s="274" t="s">
        <v>12</v>
      </c>
      <c r="C26" s="272">
        <v>54070</v>
      </c>
      <c r="D26" s="269">
        <v>0</v>
      </c>
      <c r="E26" s="308">
        <v>34203.519999999997</v>
      </c>
      <c r="F26" s="307">
        <f t="shared" si="0"/>
        <v>19866.480000000003</v>
      </c>
      <c r="G26" s="308">
        <v>0</v>
      </c>
      <c r="H26" s="307">
        <f t="shared" si="3"/>
        <v>0</v>
      </c>
      <c r="I26" s="311"/>
      <c r="J26" s="311">
        <f t="shared" si="1"/>
        <v>54070</v>
      </c>
      <c r="K26" s="313"/>
      <c r="L26" s="313">
        <f t="shared" si="2"/>
        <v>0</v>
      </c>
      <c r="M26" s="311">
        <v>217634</v>
      </c>
      <c r="N26" s="311">
        <v>16500</v>
      </c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s="23" customFormat="1" x14ac:dyDescent="0.3">
      <c r="A27" s="179" t="s">
        <v>69</v>
      </c>
      <c r="B27" s="274" t="s">
        <v>379</v>
      </c>
      <c r="C27" s="272">
        <v>84044</v>
      </c>
      <c r="D27" s="269">
        <v>14700</v>
      </c>
      <c r="E27" s="307">
        <v>17830</v>
      </c>
      <c r="F27" s="307">
        <f t="shared" si="0"/>
        <v>66214</v>
      </c>
      <c r="G27" s="307">
        <v>3800</v>
      </c>
      <c r="H27" s="307">
        <f t="shared" si="3"/>
        <v>10900</v>
      </c>
      <c r="I27" s="311"/>
      <c r="J27" s="311">
        <f t="shared" si="1"/>
        <v>84044</v>
      </c>
      <c r="K27" s="313"/>
      <c r="L27" s="313">
        <f t="shared" si="2"/>
        <v>14700</v>
      </c>
      <c r="M27" s="311">
        <v>21396</v>
      </c>
      <c r="N27" s="311">
        <v>3885</v>
      </c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s="23" customFormat="1" x14ac:dyDescent="0.3">
      <c r="A28" s="179" t="s">
        <v>70</v>
      </c>
      <c r="B28" s="274" t="s">
        <v>241</v>
      </c>
      <c r="C28" s="272">
        <v>42789.600000000006</v>
      </c>
      <c r="D28" s="269">
        <v>1000</v>
      </c>
      <c r="E28" s="307">
        <v>23792.2</v>
      </c>
      <c r="F28" s="307">
        <f t="shared" si="0"/>
        <v>18997.400000000005</v>
      </c>
      <c r="G28" s="307">
        <v>600</v>
      </c>
      <c r="H28" s="307">
        <f t="shared" si="3"/>
        <v>400</v>
      </c>
      <c r="I28" s="311">
        <v>23792.2</v>
      </c>
      <c r="J28" s="311">
        <f t="shared" si="1"/>
        <v>18997.400000000005</v>
      </c>
      <c r="K28" s="313">
        <v>600</v>
      </c>
      <c r="L28" s="313">
        <f t="shared" si="2"/>
        <v>400</v>
      </c>
      <c r="M28" s="311">
        <v>38550.58</v>
      </c>
      <c r="N28" s="311">
        <v>600</v>
      </c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s="23" customFormat="1" x14ac:dyDescent="0.3">
      <c r="A29" s="179" t="s">
        <v>71</v>
      </c>
      <c r="B29" s="274" t="s">
        <v>77</v>
      </c>
      <c r="C29" s="272">
        <v>133581</v>
      </c>
      <c r="D29" s="269">
        <v>19950</v>
      </c>
      <c r="E29" s="307">
        <v>22545.33</v>
      </c>
      <c r="F29" s="307">
        <v>19950</v>
      </c>
      <c r="G29" s="307">
        <v>5526.2</v>
      </c>
      <c r="H29" s="307">
        <f>D29-G29</f>
        <v>14423.8</v>
      </c>
      <c r="I29" s="311"/>
      <c r="J29" s="311">
        <f t="shared" si="1"/>
        <v>133581</v>
      </c>
      <c r="K29" s="313"/>
      <c r="L29" s="313">
        <f t="shared" si="2"/>
        <v>19950</v>
      </c>
      <c r="M29" s="311">
        <v>39276.019999999997</v>
      </c>
      <c r="N29" s="311">
        <v>8026.2</v>
      </c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s="23" customFormat="1" x14ac:dyDescent="0.3">
      <c r="A30" s="179" t="s">
        <v>13</v>
      </c>
      <c r="B30" s="274" t="s">
        <v>243</v>
      </c>
      <c r="C30" s="272">
        <v>99273</v>
      </c>
      <c r="D30" s="269">
        <v>7920</v>
      </c>
      <c r="E30" s="307">
        <v>99273</v>
      </c>
      <c r="F30" s="307">
        <f t="shared" si="0"/>
        <v>0</v>
      </c>
      <c r="G30" s="307">
        <v>0</v>
      </c>
      <c r="H30" s="307">
        <f t="shared" si="3"/>
        <v>7920</v>
      </c>
      <c r="I30" s="311">
        <v>99273</v>
      </c>
      <c r="J30" s="311">
        <f t="shared" si="1"/>
        <v>0</v>
      </c>
      <c r="K30" s="313">
        <v>0</v>
      </c>
      <c r="L30" s="313">
        <f t="shared" si="2"/>
        <v>7920</v>
      </c>
      <c r="M30" s="311">
        <v>99273</v>
      </c>
      <c r="N30" s="311">
        <v>0</v>
      </c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s="23" customFormat="1" x14ac:dyDescent="0.3">
      <c r="A31" s="179" t="s">
        <v>72</v>
      </c>
      <c r="B31" s="274" t="s">
        <v>170</v>
      </c>
      <c r="C31" s="180">
        <v>80165</v>
      </c>
      <c r="D31" s="269">
        <v>0</v>
      </c>
      <c r="E31" s="307"/>
      <c r="F31" s="307">
        <f t="shared" si="0"/>
        <v>80165</v>
      </c>
      <c r="G31" s="307">
        <v>0</v>
      </c>
      <c r="H31" s="307">
        <f t="shared" si="3"/>
        <v>0</v>
      </c>
      <c r="I31" s="311"/>
      <c r="J31" s="311">
        <f t="shared" si="1"/>
        <v>80165</v>
      </c>
      <c r="K31" s="313"/>
      <c r="L31" s="313">
        <f t="shared" si="2"/>
        <v>0</v>
      </c>
      <c r="M31" s="311"/>
      <c r="N31" s="311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s="160" customFormat="1" ht="15" thickBot="1" x14ac:dyDescent="0.35">
      <c r="A32" s="275"/>
      <c r="B32" s="178"/>
      <c r="C32" s="276"/>
      <c r="D32" s="277"/>
      <c r="E32" s="309"/>
      <c r="F32" s="309"/>
      <c r="G32" s="309"/>
      <c r="H32" s="309"/>
      <c r="I32" s="312"/>
      <c r="J32" s="312"/>
      <c r="K32" s="314"/>
      <c r="L32" s="314"/>
      <c r="M32" s="312"/>
      <c r="N32" s="312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</row>
    <row r="33" spans="1:38" s="24" customFormat="1" ht="15" thickBot="1" x14ac:dyDescent="0.35">
      <c r="A33" s="278" t="s">
        <v>46</v>
      </c>
      <c r="B33" s="171"/>
      <c r="C33" s="279">
        <f>SUM(C9:C31)</f>
        <v>2260992.2000000002</v>
      </c>
      <c r="D33" s="280">
        <f>SUM(D9:D31)</f>
        <v>323256</v>
      </c>
      <c r="E33" s="310">
        <f t="shared" ref="E33:AA33" si="4">SUM(E9:E31)</f>
        <v>860344.44</v>
      </c>
      <c r="F33" s="310">
        <f t="shared" si="4"/>
        <v>1309562.0899999999</v>
      </c>
      <c r="G33" s="310">
        <f t="shared" si="4"/>
        <v>99256.2</v>
      </c>
      <c r="H33" s="310">
        <f t="shared" si="4"/>
        <v>223999.8</v>
      </c>
      <c r="I33" s="223">
        <f t="shared" si="4"/>
        <v>937314</v>
      </c>
      <c r="J33" s="223">
        <f t="shared" si="4"/>
        <v>1323678.2</v>
      </c>
      <c r="K33" s="315">
        <f t="shared" si="4"/>
        <v>110580</v>
      </c>
      <c r="L33" s="315">
        <f t="shared" si="4"/>
        <v>212676</v>
      </c>
      <c r="M33" s="223">
        <f t="shared" si="4"/>
        <v>590096.57000000007</v>
      </c>
      <c r="N33" s="223">
        <f t="shared" si="4"/>
        <v>84728.2</v>
      </c>
      <c r="O33" s="223">
        <f t="shared" si="4"/>
        <v>0</v>
      </c>
      <c r="P33" s="223">
        <f t="shared" si="4"/>
        <v>0</v>
      </c>
      <c r="Q33" s="223">
        <f t="shared" si="4"/>
        <v>0</v>
      </c>
      <c r="R33" s="223">
        <f t="shared" si="4"/>
        <v>0</v>
      </c>
      <c r="S33" s="223">
        <f t="shared" si="4"/>
        <v>0</v>
      </c>
      <c r="T33" s="223">
        <f t="shared" si="4"/>
        <v>0</v>
      </c>
      <c r="U33" s="223">
        <f t="shared" si="4"/>
        <v>0</v>
      </c>
      <c r="V33" s="223">
        <f t="shared" si="4"/>
        <v>0</v>
      </c>
      <c r="W33" s="223">
        <f t="shared" si="4"/>
        <v>0</v>
      </c>
      <c r="X33" s="223">
        <f t="shared" si="4"/>
        <v>0</v>
      </c>
      <c r="Y33" s="223">
        <f t="shared" si="4"/>
        <v>0</v>
      </c>
      <c r="Z33" s="223">
        <f t="shared" si="4"/>
        <v>0</v>
      </c>
      <c r="AA33" s="223">
        <f t="shared" si="4"/>
        <v>0</v>
      </c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</row>
    <row r="34" spans="1:38" x14ac:dyDescent="0.3">
      <c r="C34" s="31"/>
      <c r="D34" s="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x14ac:dyDescent="0.3">
      <c r="C35" s="31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x14ac:dyDescent="0.3">
      <c r="C36" s="31"/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x14ac:dyDescent="0.3">
      <c r="C37" s="182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x14ac:dyDescent="0.3">
      <c r="C38" s="31"/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x14ac:dyDescent="0.3"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x14ac:dyDescent="0.3"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x14ac:dyDescent="0.3"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x14ac:dyDescent="0.3">
      <c r="D42" s="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38" x14ac:dyDescent="0.3"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38" x14ac:dyDescent="0.3"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38" x14ac:dyDescent="0.3">
      <c r="D45" s="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38" x14ac:dyDescent="0.3">
      <c r="D46" s="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38" x14ac:dyDescent="0.3">
      <c r="D47" s="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38" x14ac:dyDescent="0.3">
      <c r="D48" s="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4:27" x14ac:dyDescent="0.3">
      <c r="D49" s="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4:27" x14ac:dyDescent="0.3">
      <c r="D50" s="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4:27" x14ac:dyDescent="0.3">
      <c r="D51" s="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4:27" x14ac:dyDescent="0.3">
      <c r="D52" s="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4:27" x14ac:dyDescent="0.3">
      <c r="D53" s="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4:27" x14ac:dyDescent="0.3">
      <c r="D54" s="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4:27" x14ac:dyDescent="0.3">
      <c r="D55" s="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4:27" x14ac:dyDescent="0.3">
      <c r="D56" s="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4:27" x14ac:dyDescent="0.3">
      <c r="D57" s="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4:27" x14ac:dyDescent="0.3"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4:27" x14ac:dyDescent="0.3">
      <c r="D59" s="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4:27" x14ac:dyDescent="0.3">
      <c r="D60" s="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4:27" x14ac:dyDescent="0.3">
      <c r="D61" s="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4:27" x14ac:dyDescent="0.3">
      <c r="D62" s="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4:27" x14ac:dyDescent="0.3">
      <c r="D63" s="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4:27" x14ac:dyDescent="0.3">
      <c r="D64" s="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4:27" x14ac:dyDescent="0.3">
      <c r="D65" s="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4:27" x14ac:dyDescent="0.3">
      <c r="D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4:27" x14ac:dyDescent="0.3">
      <c r="D67" s="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4:27" x14ac:dyDescent="0.3">
      <c r="D68" s="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4:27" x14ac:dyDescent="0.3">
      <c r="D69" s="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4:27" x14ac:dyDescent="0.3">
      <c r="D70" s="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4:27" x14ac:dyDescent="0.3">
      <c r="D71" s="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4:27" x14ac:dyDescent="0.3">
      <c r="D72" s="6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4:27" x14ac:dyDescent="0.3">
      <c r="D73" s="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4:27" x14ac:dyDescent="0.3">
      <c r="D74" s="6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4:27" x14ac:dyDescent="0.3">
      <c r="D75" s="6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4:27" x14ac:dyDescent="0.3">
      <c r="D76" s="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4:27" x14ac:dyDescent="0.3">
      <c r="D77" s="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4:27" x14ac:dyDescent="0.3">
      <c r="D78" s="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4:27" x14ac:dyDescent="0.3"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4:27" x14ac:dyDescent="0.3">
      <c r="D80" s="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4:27" x14ac:dyDescent="0.3"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4:27" x14ac:dyDescent="0.3">
      <c r="D82" s="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4:27" x14ac:dyDescent="0.3">
      <c r="D83" s="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4:27" x14ac:dyDescent="0.3"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4:27" x14ac:dyDescent="0.3">
      <c r="D85" s="6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4:27" x14ac:dyDescent="0.3"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4:27" x14ac:dyDescent="0.3">
      <c r="D87" s="6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4:27" x14ac:dyDescent="0.3"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4:27" x14ac:dyDescent="0.3">
      <c r="D89" s="6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4:27" x14ac:dyDescent="0.3">
      <c r="D90" s="6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4:27" x14ac:dyDescent="0.3">
      <c r="D91" s="6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4:27" x14ac:dyDescent="0.3"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4:27" x14ac:dyDescent="0.3">
      <c r="D93" s="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4:27" x14ac:dyDescent="0.3"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4:27" x14ac:dyDescent="0.3">
      <c r="D95" s="6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4:27" x14ac:dyDescent="0.3"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4:27" x14ac:dyDescent="0.3">
      <c r="D97" s="6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4:27" x14ac:dyDescent="0.3">
      <c r="D98" s="6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4:27" x14ac:dyDescent="0.3"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4:27" x14ac:dyDescent="0.3">
      <c r="D100" s="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4:27" x14ac:dyDescent="0.3"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4:27" x14ac:dyDescent="0.3">
      <c r="D102" s="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4:27" x14ac:dyDescent="0.3"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4:27" x14ac:dyDescent="0.3">
      <c r="D104" s="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4:27" x14ac:dyDescent="0.3">
      <c r="D105" s="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4:27" x14ac:dyDescent="0.3">
      <c r="D106" s="6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4:27" x14ac:dyDescent="0.3">
      <c r="D107" s="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4:27" x14ac:dyDescent="0.3">
      <c r="D108" s="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4:27" x14ac:dyDescent="0.3">
      <c r="D109" s="6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4:27" x14ac:dyDescent="0.3">
      <c r="D110" s="6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4:27" x14ac:dyDescent="0.3">
      <c r="D111" s="6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4:27" x14ac:dyDescent="0.3">
      <c r="D112" s="6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4:27" x14ac:dyDescent="0.3">
      <c r="D113" s="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4:27" x14ac:dyDescent="0.3">
      <c r="D114" s="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4:27" x14ac:dyDescent="0.3"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4:27" x14ac:dyDescent="0.3"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4:27" x14ac:dyDescent="0.3"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4:27" x14ac:dyDescent="0.3"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4:27" x14ac:dyDescent="0.3"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4:27" x14ac:dyDescent="0.3"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4:27" x14ac:dyDescent="0.3"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4:27" x14ac:dyDescent="0.3"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4:27" x14ac:dyDescent="0.3"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4:27" x14ac:dyDescent="0.3"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4:27" x14ac:dyDescent="0.3"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4:27" x14ac:dyDescent="0.3"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4:27" x14ac:dyDescent="0.3"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4:27" x14ac:dyDescent="0.3"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4:27" x14ac:dyDescent="0.3"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4:27" x14ac:dyDescent="0.3"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4:27" x14ac:dyDescent="0.3"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4:27" x14ac:dyDescent="0.3"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4:27" x14ac:dyDescent="0.3"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4:27" x14ac:dyDescent="0.3"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4:27" x14ac:dyDescent="0.3"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4:27" x14ac:dyDescent="0.3"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4:27" x14ac:dyDescent="0.3"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4:27" x14ac:dyDescent="0.3"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4:27" x14ac:dyDescent="0.3"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4:27" x14ac:dyDescent="0.3"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</sheetData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793CF-6B37-49CC-9D8C-4C2274C13CEE}">
  <sheetPr codeName="Sheet5">
    <tabColor theme="2"/>
  </sheetPr>
  <dimension ref="A1:Y19"/>
  <sheetViews>
    <sheetView workbookViewId="0">
      <selection activeCell="S13" sqref="S13"/>
    </sheetView>
  </sheetViews>
  <sheetFormatPr defaultRowHeight="14.4" x14ac:dyDescent="0.3"/>
  <cols>
    <col min="1" max="3" width="15.5546875" customWidth="1"/>
    <col min="4" max="4" width="13.44140625" bestFit="1" customWidth="1"/>
    <col min="5" max="5" width="15.5546875" customWidth="1"/>
    <col min="6" max="13" width="15.5546875" hidden="1" customWidth="1"/>
    <col min="14" max="25" width="15.5546875" customWidth="1"/>
  </cols>
  <sheetData>
    <row r="1" spans="1:25" s="45" customFormat="1" ht="21" x14ac:dyDescent="0.4">
      <c r="A1" s="62" t="s">
        <v>0</v>
      </c>
      <c r="B1" s="53"/>
      <c r="C1" s="66" t="s">
        <v>356</v>
      </c>
      <c r="D1" s="50"/>
      <c r="E1" s="50"/>
      <c r="F1" s="50"/>
      <c r="G1" s="54"/>
      <c r="H1" s="53"/>
      <c r="I1" s="48"/>
      <c r="J1" s="66" t="str">
        <f>$C$1</f>
        <v>CDC Improving Student Health</v>
      </c>
      <c r="K1" s="53"/>
      <c r="L1" s="53"/>
      <c r="M1" s="48"/>
      <c r="N1" s="53"/>
      <c r="O1" s="53"/>
      <c r="P1" s="66" t="str">
        <f>$C$1</f>
        <v>CDC Improving Student Health</v>
      </c>
      <c r="Q1" s="48"/>
      <c r="R1" s="48"/>
      <c r="S1" s="53"/>
      <c r="T1" s="48"/>
      <c r="U1" s="53"/>
      <c r="V1" s="48"/>
      <c r="W1" s="53"/>
      <c r="X1" s="47"/>
      <c r="Y1" s="47"/>
    </row>
    <row r="2" spans="1:25" s="3" customFormat="1" ht="21" x14ac:dyDescent="0.4">
      <c r="A2" s="47" t="s">
        <v>147</v>
      </c>
      <c r="B2" s="49"/>
      <c r="C2" s="62" t="s">
        <v>357</v>
      </c>
      <c r="D2" s="48"/>
      <c r="E2" s="48"/>
      <c r="F2" s="48"/>
      <c r="G2" s="15"/>
      <c r="H2" s="49"/>
      <c r="I2" s="49"/>
      <c r="J2" s="67" t="s">
        <v>507</v>
      </c>
      <c r="K2" s="49"/>
      <c r="L2" s="49"/>
      <c r="M2" s="49"/>
      <c r="N2" s="49"/>
      <c r="O2" s="49"/>
      <c r="P2" s="67" t="s">
        <v>507</v>
      </c>
      <c r="Q2" s="49"/>
      <c r="R2" s="49"/>
      <c r="S2" s="49"/>
      <c r="T2" s="49"/>
      <c r="U2" s="49"/>
      <c r="V2" s="49"/>
      <c r="W2" s="49"/>
      <c r="X2" s="47"/>
      <c r="Y2" s="47"/>
    </row>
    <row r="3" spans="1:25" s="45" customFormat="1" ht="15.6" x14ac:dyDescent="0.3">
      <c r="A3" s="63" t="s">
        <v>1</v>
      </c>
      <c r="B3" s="53"/>
      <c r="C3" s="67" t="s">
        <v>358</v>
      </c>
      <c r="D3" s="50"/>
      <c r="E3" s="50"/>
      <c r="F3" s="50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  <c r="Y3" s="54"/>
    </row>
    <row r="4" spans="1:25" s="45" customFormat="1" ht="15.6" x14ac:dyDescent="0.3">
      <c r="A4" s="63" t="s">
        <v>2</v>
      </c>
      <c r="B4" s="53"/>
      <c r="C4" s="67" t="s">
        <v>507</v>
      </c>
      <c r="D4" s="50"/>
      <c r="E4" s="50"/>
      <c r="F4" s="50"/>
      <c r="G4" s="54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4"/>
    </row>
    <row r="5" spans="1:25" s="45" customFormat="1" ht="15.6" x14ac:dyDescent="0.3">
      <c r="A5" s="63"/>
      <c r="B5" s="53"/>
      <c r="C5" s="63" t="s">
        <v>33</v>
      </c>
      <c r="D5" s="50"/>
      <c r="E5" s="50"/>
      <c r="F5" s="50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2"/>
      <c r="Y5" s="52"/>
    </row>
    <row r="6" spans="1:25" s="45" customFormat="1" ht="15.6" x14ac:dyDescent="0.3">
      <c r="A6" s="63" t="s">
        <v>19</v>
      </c>
      <c r="B6" s="53"/>
      <c r="C6" s="383" t="s">
        <v>678</v>
      </c>
      <c r="D6" s="50"/>
      <c r="E6" s="50"/>
      <c r="F6" s="50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2"/>
      <c r="Y6" s="52"/>
    </row>
    <row r="7" spans="1:25" s="45" customFormat="1" ht="24" thickBot="1" x14ac:dyDescent="0.5">
      <c r="A7" s="442"/>
      <c r="B7" s="443"/>
      <c r="C7" s="443"/>
      <c r="D7" s="443"/>
      <c r="E7" s="443"/>
      <c r="F7" s="444"/>
      <c r="G7" s="444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2"/>
      <c r="Y7" s="52"/>
    </row>
    <row r="8" spans="1:25" s="44" customFormat="1" ht="29.4" thickBot="1" x14ac:dyDescent="0.35">
      <c r="A8" s="11" t="s">
        <v>138</v>
      </c>
      <c r="B8" s="12" t="s">
        <v>132</v>
      </c>
      <c r="C8" s="13" t="s">
        <v>15</v>
      </c>
      <c r="D8" s="12" t="s">
        <v>16</v>
      </c>
      <c r="E8" s="29" t="s">
        <v>17</v>
      </c>
      <c r="F8" s="26" t="s">
        <v>238</v>
      </c>
      <c r="G8" s="27" t="s">
        <v>239</v>
      </c>
      <c r="H8" s="26" t="s">
        <v>240</v>
      </c>
      <c r="I8" s="27" t="s">
        <v>400</v>
      </c>
      <c r="J8" s="26" t="s">
        <v>401</v>
      </c>
      <c r="K8" s="27" t="s">
        <v>466</v>
      </c>
      <c r="L8" s="27" t="s">
        <v>496</v>
      </c>
      <c r="M8" s="27" t="s">
        <v>497</v>
      </c>
      <c r="N8" s="27" t="s">
        <v>498</v>
      </c>
      <c r="O8" s="27" t="s">
        <v>499</v>
      </c>
      <c r="P8" s="27" t="s">
        <v>500</v>
      </c>
      <c r="Q8" s="27" t="s">
        <v>501</v>
      </c>
      <c r="R8" s="26" t="s">
        <v>502</v>
      </c>
      <c r="S8" s="27" t="s">
        <v>503</v>
      </c>
      <c r="T8" s="27" t="s">
        <v>504</v>
      </c>
      <c r="U8" s="27" t="s">
        <v>505</v>
      </c>
      <c r="V8" s="12" t="s">
        <v>157</v>
      </c>
      <c r="W8" s="12" t="s">
        <v>158</v>
      </c>
    </row>
    <row r="9" spans="1:25" s="37" customFormat="1" ht="15" thickBot="1" x14ac:dyDescent="0.35">
      <c r="A9" s="96" t="s">
        <v>23</v>
      </c>
      <c r="B9" s="93" t="s">
        <v>359</v>
      </c>
      <c r="C9" s="384">
        <v>17000</v>
      </c>
      <c r="D9" s="384">
        <f t="shared" ref="D9:D14" si="0">SUM(F9:W9)</f>
        <v>10336</v>
      </c>
      <c r="E9" s="384">
        <f>C9-D9</f>
        <v>6664</v>
      </c>
      <c r="F9" s="125"/>
      <c r="G9" s="116"/>
      <c r="H9" s="116"/>
      <c r="I9" s="116"/>
      <c r="J9" s="251">
        <f>1663+832</f>
        <v>2495</v>
      </c>
      <c r="K9" s="251">
        <f>831+1437</f>
        <v>2268</v>
      </c>
      <c r="L9" s="251">
        <v>1009</v>
      </c>
      <c r="M9" s="251">
        <v>1321</v>
      </c>
      <c r="N9" s="251">
        <v>1030</v>
      </c>
      <c r="O9" s="251">
        <v>1031</v>
      </c>
      <c r="P9" s="251">
        <v>1182</v>
      </c>
      <c r="Q9" s="251"/>
      <c r="R9" s="251"/>
      <c r="S9" s="251" t="s">
        <v>33</v>
      </c>
      <c r="T9" s="251"/>
      <c r="U9" s="251"/>
      <c r="V9" s="44"/>
      <c r="W9" s="44"/>
    </row>
    <row r="10" spans="1:25" s="37" customFormat="1" ht="15" thickBot="1" x14ac:dyDescent="0.35">
      <c r="A10" s="96" t="s">
        <v>48</v>
      </c>
      <c r="B10" s="93" t="s">
        <v>101</v>
      </c>
      <c r="C10" s="384">
        <v>17000</v>
      </c>
      <c r="D10" s="384">
        <f t="shared" si="0"/>
        <v>17000</v>
      </c>
      <c r="E10" s="384">
        <f t="shared" ref="E10:E14" si="1">C10-D10</f>
        <v>0</v>
      </c>
      <c r="F10" s="74"/>
      <c r="G10" s="74"/>
      <c r="H10" s="74"/>
      <c r="I10" s="74"/>
      <c r="J10" s="209"/>
      <c r="K10" s="209">
        <v>5371.44</v>
      </c>
      <c r="L10" s="209"/>
      <c r="M10" s="209"/>
      <c r="N10" s="209">
        <v>6981.45</v>
      </c>
      <c r="O10" s="209"/>
      <c r="P10" s="209"/>
      <c r="Q10" s="209">
        <v>4647.1099999999997</v>
      </c>
      <c r="R10" s="209"/>
      <c r="S10" s="209"/>
      <c r="T10" s="209"/>
      <c r="U10" s="209"/>
      <c r="V10" s="44"/>
      <c r="W10" s="44"/>
    </row>
    <row r="11" spans="1:25" s="37" customFormat="1" ht="29.4" thickBot="1" x14ac:dyDescent="0.35">
      <c r="A11" s="96" t="s">
        <v>34</v>
      </c>
      <c r="B11" s="93" t="s">
        <v>360</v>
      </c>
      <c r="C11" s="384">
        <v>17000</v>
      </c>
      <c r="D11" s="384">
        <f t="shared" si="0"/>
        <v>17000</v>
      </c>
      <c r="E11" s="384">
        <f t="shared" si="1"/>
        <v>0</v>
      </c>
      <c r="F11" s="74"/>
      <c r="G11" s="74"/>
      <c r="H11" s="74"/>
      <c r="I11" s="74"/>
      <c r="J11" s="209"/>
      <c r="K11" s="209"/>
      <c r="L11" s="209"/>
      <c r="M11" s="209"/>
      <c r="N11" s="209"/>
      <c r="O11" s="209">
        <f>4270.1+5361.42</f>
        <v>9631.52</v>
      </c>
      <c r="P11" s="209">
        <v>2458.15</v>
      </c>
      <c r="Q11" s="209">
        <v>4910.33</v>
      </c>
      <c r="R11" s="209"/>
      <c r="S11" s="209"/>
      <c r="T11" s="209"/>
      <c r="U11" s="209"/>
      <c r="V11" s="44"/>
      <c r="W11" s="44"/>
    </row>
    <row r="12" spans="1:25" s="37" customFormat="1" ht="15" thickBot="1" x14ac:dyDescent="0.35">
      <c r="A12" s="96" t="s">
        <v>42</v>
      </c>
      <c r="B12" s="93" t="s">
        <v>361</v>
      </c>
      <c r="C12" s="384">
        <v>17000</v>
      </c>
      <c r="D12" s="384">
        <f t="shared" si="0"/>
        <v>0</v>
      </c>
      <c r="E12" s="384">
        <f t="shared" si="1"/>
        <v>17000</v>
      </c>
      <c r="F12" s="74"/>
      <c r="G12" s="74"/>
      <c r="H12" s="74"/>
      <c r="I12" s="74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44"/>
      <c r="W12" s="44"/>
    </row>
    <row r="13" spans="1:25" s="37" customFormat="1" ht="29.4" thickBot="1" x14ac:dyDescent="0.35">
      <c r="A13" s="96" t="s">
        <v>37</v>
      </c>
      <c r="B13" s="93" t="s">
        <v>362</v>
      </c>
      <c r="C13" s="384">
        <v>17000</v>
      </c>
      <c r="D13" s="384">
        <f t="shared" si="0"/>
        <v>0</v>
      </c>
      <c r="E13" s="384">
        <f t="shared" si="1"/>
        <v>17000</v>
      </c>
      <c r="F13" s="74"/>
      <c r="G13" s="74"/>
      <c r="H13" s="74"/>
      <c r="I13" s="74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44"/>
      <c r="W13" s="44"/>
    </row>
    <row r="14" spans="1:25" s="37" customFormat="1" ht="29.4" thickBot="1" x14ac:dyDescent="0.35">
      <c r="A14" s="96" t="s">
        <v>41</v>
      </c>
      <c r="B14" s="93" t="s">
        <v>363</v>
      </c>
      <c r="C14" s="384">
        <v>17000</v>
      </c>
      <c r="D14" s="384">
        <f t="shared" si="0"/>
        <v>17000</v>
      </c>
      <c r="E14" s="384">
        <f t="shared" si="1"/>
        <v>0</v>
      </c>
      <c r="F14" s="74"/>
      <c r="G14" s="74"/>
      <c r="H14" s="74"/>
      <c r="I14" s="74"/>
      <c r="J14" s="209"/>
      <c r="K14" s="209"/>
      <c r="L14" s="209"/>
      <c r="M14" s="209"/>
      <c r="N14" s="209"/>
      <c r="O14" s="209"/>
      <c r="P14" s="209"/>
      <c r="Q14" s="209">
        <v>17000</v>
      </c>
      <c r="R14" s="209"/>
      <c r="S14" s="209"/>
      <c r="T14" s="209"/>
      <c r="U14" s="209"/>
      <c r="V14" s="44"/>
      <c r="W14" s="44"/>
    </row>
    <row r="15" spans="1:25" s="44" customFormat="1" ht="15" thickBot="1" x14ac:dyDescent="0.35">
      <c r="A15" s="154"/>
      <c r="B15" s="155"/>
      <c r="C15" s="157"/>
      <c r="D15" s="157"/>
      <c r="E15" s="157"/>
      <c r="F15" s="74"/>
      <c r="G15" s="74"/>
      <c r="H15" s="74"/>
      <c r="I15" s="74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45"/>
      <c r="W15" s="45"/>
    </row>
    <row r="16" spans="1:25" s="14" customFormat="1" ht="15" thickBot="1" x14ac:dyDescent="0.35">
      <c r="A16" s="98" t="s">
        <v>46</v>
      </c>
      <c r="B16" s="43"/>
      <c r="C16" s="102">
        <f>SUM(C9:C15)</f>
        <v>102000</v>
      </c>
      <c r="D16" s="102">
        <f>SUM(D9:D15)</f>
        <v>61336</v>
      </c>
      <c r="E16" s="102">
        <f>SUM(E9:E15)</f>
        <v>40664</v>
      </c>
      <c r="F16" s="87">
        <f>SUM(F9:F14)</f>
        <v>0</v>
      </c>
      <c r="G16" s="87">
        <f>SUM(G9:G14)</f>
        <v>0</v>
      </c>
      <c r="H16" s="87">
        <f>SUM(H9:H14)</f>
        <v>0</v>
      </c>
      <c r="I16" s="87">
        <f t="shared" ref="I16:W16" si="2">SUM(I9:I15)</f>
        <v>0</v>
      </c>
      <c r="J16" s="252">
        <f t="shared" si="2"/>
        <v>2495</v>
      </c>
      <c r="K16" s="252">
        <f t="shared" si="2"/>
        <v>7639.44</v>
      </c>
      <c r="L16" s="252">
        <f t="shared" si="2"/>
        <v>1009</v>
      </c>
      <c r="M16" s="252">
        <f t="shared" si="2"/>
        <v>1321</v>
      </c>
      <c r="N16" s="252">
        <f t="shared" si="2"/>
        <v>8011.45</v>
      </c>
      <c r="O16" s="252">
        <f t="shared" si="2"/>
        <v>10662.52</v>
      </c>
      <c r="P16" s="252">
        <f t="shared" si="2"/>
        <v>3640.15</v>
      </c>
      <c r="Q16" s="252">
        <f t="shared" si="2"/>
        <v>26557.439999999999</v>
      </c>
      <c r="R16" s="252">
        <f t="shared" si="2"/>
        <v>0</v>
      </c>
      <c r="S16" s="252">
        <f t="shared" si="2"/>
        <v>0</v>
      </c>
      <c r="T16" s="252">
        <f t="shared" si="2"/>
        <v>0</v>
      </c>
      <c r="U16" s="252">
        <f t="shared" si="2"/>
        <v>0</v>
      </c>
      <c r="V16" s="87">
        <f t="shared" si="2"/>
        <v>0</v>
      </c>
      <c r="W16" s="87">
        <f t="shared" si="2"/>
        <v>0</v>
      </c>
    </row>
    <row r="17" spans="1:25" s="44" customFormat="1" x14ac:dyDescent="0.3">
      <c r="A17" s="65"/>
      <c r="C17" s="65"/>
      <c r="D17" s="44" t="s">
        <v>680</v>
      </c>
      <c r="E17" s="46"/>
      <c r="F17" s="46"/>
      <c r="G17" s="46"/>
      <c r="J17" s="215">
        <v>2495</v>
      </c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X17" s="30"/>
      <c r="Y17" s="30"/>
    </row>
    <row r="18" spans="1:25" s="44" customFormat="1" x14ac:dyDescent="0.3">
      <c r="A18" s="65"/>
      <c r="C18" s="46"/>
      <c r="D18" s="46"/>
      <c r="E18" s="46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X18" s="30"/>
      <c r="Y18" s="30"/>
    </row>
    <row r="19" spans="1:25" s="44" customFormat="1" x14ac:dyDescent="0.3">
      <c r="A19" s="65"/>
      <c r="C19" s="46"/>
      <c r="D19" s="46"/>
      <c r="E19" s="46"/>
      <c r="Q19" s="30"/>
      <c r="X19" s="30"/>
      <c r="Y19" s="30"/>
    </row>
  </sheetData>
  <mergeCells count="1">
    <mergeCell ref="A7:G7"/>
  </mergeCells>
  <hyperlinks>
    <hyperlink ref="C6" r:id="rId1" xr:uid="{21C2798D-F3AC-4C32-8A42-15C258C6BD11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21ST C7 </vt:lpstr>
      <vt:lpstr>21ST C8</vt:lpstr>
      <vt:lpstr>SRAE</vt:lpstr>
      <vt:lpstr>Colorado School Climate</vt:lpstr>
      <vt:lpstr>MTB Framework</vt:lpstr>
      <vt:lpstr>AEFLA </vt:lpstr>
      <vt:lpstr>BEST Instruction</vt:lpstr>
      <vt:lpstr>AEFLA Match &amp; PI</vt:lpstr>
      <vt:lpstr>CDC Impr Student Health</vt:lpstr>
      <vt:lpstr>DB Centers</vt:lpstr>
      <vt:lpstr>High Flyers</vt:lpstr>
      <vt:lpstr>IEL_CIVICS </vt:lpstr>
      <vt:lpstr>JAVITS R4R</vt:lpstr>
      <vt:lpstr>JAVITS R4R Y042</vt:lpstr>
      <vt:lpstr>IEL CIVICS Match &amp; PI</vt:lpstr>
      <vt:lpstr>McKinney Vento</vt:lpstr>
      <vt:lpstr>MSIX</vt:lpstr>
      <vt:lpstr>MTSS </vt:lpstr>
      <vt:lpstr>Project Aware</vt:lpstr>
      <vt:lpstr>TITLE IC MIGRANT</vt:lpstr>
      <vt:lpstr>TITLE II B MSP</vt:lpstr>
      <vt:lpstr>Title III PD</vt:lpstr>
      <vt:lpstr>All_Allocations</vt:lpstr>
      <vt:lpstr>Charter School Remote Learning</vt:lpstr>
      <vt:lpstr>TITLE VI Charter 2020</vt:lpstr>
      <vt:lpstr>TITLE V CHARTER 44xC </vt:lpstr>
      <vt:lpstr>Sheet1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Mueller, Patrick</cp:lastModifiedBy>
  <cp:lastPrinted>2016-12-08T23:20:31Z</cp:lastPrinted>
  <dcterms:created xsi:type="dcterms:W3CDTF">2011-11-11T22:30:43Z</dcterms:created>
  <dcterms:modified xsi:type="dcterms:W3CDTF">2021-12-03T17:56:36Z</dcterms:modified>
</cp:coreProperties>
</file>