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ECC716EF-B05E-40E0-82B6-913E3E4E9E93}" xr6:coauthVersionLast="47" xr6:coauthVersionMax="47" xr10:uidLastSave="{00000000-0000-0000-0000-000000000000}"/>
  <workbookProtection workbookAlgorithmName="SHA-512" workbookHashValue="GdwnYhN96Z5CdF/gHLZ6XZb10NOdw06Ik1arQAdE4T0hkYoQW58RhprtZ6zgaM0b/Bp1189waS4ea2NogldtCA==" workbookSaltValue="vtlyFiiRmzowvML4BzY/9A==" workbookSpinCount="100000" lockStructure="1"/>
  <bookViews>
    <workbookView xWindow="-120" yWindow="-120" windowWidth="29040" windowHeight="15840" tabRatio="894" activeTab="6" xr2:uid="{00000000-000D-0000-FFFF-FFFF00000000}"/>
  </bookViews>
  <sheets>
    <sheet name="SUMMARY OF FORMULA GRANT" sheetId="7" r:id="rId1"/>
    <sheet name="ESSA Title I-A Formula" sheetId="1" r:id="rId2"/>
    <sheet name="ESSA Title I-Delinquent" sheetId="10" r:id="rId3"/>
    <sheet name="StateAgenciesTitle I-Delinquent" sheetId="11" r:id="rId4"/>
    <sheet name="ESSA Title II-A Formula" sheetId="21" r:id="rId5"/>
    <sheet name="ESSA Title III-ELL " sheetId="22" r:id="rId6"/>
    <sheet name="ESSA Title III SAI" sheetId="4" r:id="rId7"/>
    <sheet name="Title IV" sheetId="24" r:id="rId8"/>
    <sheet name="ESSA Title V-B" sheetId="18" r:id="rId9"/>
    <sheet name="NCLB Allocations" sheetId="17" state="hidden" r:id="rId10"/>
  </sheets>
  <definedNames>
    <definedName name="_xlnm._FilterDatabase" localSheetId="1" hidden="1">'ESSA Title I-A Formula'!$A$11:$AV$194</definedName>
    <definedName name="_xlnm._FilterDatabase" localSheetId="4" hidden="1">'ESSA Title II-A Formula'!$A$11:$BA$194</definedName>
    <definedName name="_xlnm._FilterDatabase" localSheetId="6" hidden="1">'ESSA Title III SAI'!$A$11:$AH$48</definedName>
    <definedName name="_xlnm._FilterDatabase" localSheetId="5" hidden="1">'ESSA Title III-ELL '!$A$11:$BG$196</definedName>
    <definedName name="_xlnm._FilterDatabase" localSheetId="8" hidden="1">'ESSA Title V-B'!$C$12:$C$38</definedName>
    <definedName name="_xlnm._FilterDatabase" localSheetId="0" hidden="1">'SUMMARY OF FORMULA GRANT'!$H$1:$H$225</definedName>
    <definedName name="_xlnm._FilterDatabase" localSheetId="7" hidden="1">'Title IV'!$A$11:$AY$194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1" i="4" l="1"/>
  <c r="AV50" i="4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12" i="18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2" i="24"/>
  <c r="F13" i="10"/>
  <c r="F14" i="10"/>
  <c r="F15" i="10"/>
  <c r="F16" i="10"/>
  <c r="F17" i="10"/>
  <c r="F18" i="10"/>
  <c r="F19" i="10"/>
  <c r="F20" i="10"/>
  <c r="F21" i="10"/>
  <c r="F22" i="10"/>
  <c r="F23" i="10"/>
  <c r="F12" i="10"/>
  <c r="AU50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12" i="4"/>
  <c r="AR50" i="4"/>
  <c r="AS50" i="4"/>
  <c r="AT50" i="4"/>
  <c r="AQ196" i="24"/>
  <c r="AQ198" i="22"/>
  <c r="AL40" i="18" l="1"/>
  <c r="AM40" i="18"/>
  <c r="AN40" i="18"/>
  <c r="AO40" i="18"/>
  <c r="AP40" i="18"/>
  <c r="AQ40" i="18"/>
  <c r="AQ196" i="21" l="1"/>
  <c r="AP196" i="21" l="1"/>
  <c r="AN196" i="1"/>
  <c r="AO196" i="1"/>
  <c r="AP196" i="1"/>
  <c r="AQ196" i="1"/>
  <c r="AR196" i="1"/>
  <c r="AP196" i="24"/>
  <c r="AP25" i="10" l="1"/>
  <c r="AQ25" i="10"/>
  <c r="AR25" i="10"/>
  <c r="AS25" i="10"/>
  <c r="AT25" i="10"/>
  <c r="AM25" i="10"/>
  <c r="AN25" i="10"/>
  <c r="AO25" i="10"/>
  <c r="E15" i="10"/>
  <c r="G17" i="10"/>
  <c r="E17" i="10"/>
  <c r="AO196" i="24"/>
  <c r="AO196" i="21"/>
  <c r="AN196" i="24" l="1"/>
  <c r="AM196" i="21"/>
  <c r="AN196" i="21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2" i="22"/>
  <c r="AM196" i="24" l="1"/>
  <c r="AM196" i="1" l="1"/>
  <c r="AL25" i="10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2" i="1"/>
  <c r="AL196" i="1"/>
  <c r="AL196" i="24" l="1"/>
  <c r="G13" i="4"/>
  <c r="G16" i="4"/>
  <c r="G17" i="4"/>
  <c r="G24" i="4"/>
  <c r="G25" i="4"/>
  <c r="G28" i="4"/>
  <c r="G29" i="4"/>
  <c r="G32" i="4"/>
  <c r="G33" i="4"/>
  <c r="G36" i="4"/>
  <c r="G40" i="4"/>
  <c r="G41" i="4"/>
  <c r="G44" i="4"/>
  <c r="G45" i="4"/>
  <c r="G48" i="4"/>
  <c r="G14" i="4"/>
  <c r="G15" i="4"/>
  <c r="G18" i="4"/>
  <c r="G19" i="4"/>
  <c r="G20" i="4"/>
  <c r="G22" i="4"/>
  <c r="G23" i="4"/>
  <c r="G26" i="4"/>
  <c r="G27" i="4"/>
  <c r="G30" i="4"/>
  <c r="G31" i="4"/>
  <c r="G34" i="4"/>
  <c r="G35" i="4"/>
  <c r="G37" i="4"/>
  <c r="G38" i="4"/>
  <c r="G39" i="4"/>
  <c r="G42" i="4"/>
  <c r="G43" i="4"/>
  <c r="G46" i="4"/>
  <c r="G47" i="4"/>
  <c r="G12" i="4"/>
  <c r="AN50" i="4"/>
  <c r="AO50" i="4"/>
  <c r="AP50" i="4"/>
  <c r="AQ50" i="4"/>
  <c r="AL198" i="22"/>
  <c r="AM198" i="22"/>
  <c r="AN198" i="22"/>
  <c r="AO198" i="22"/>
  <c r="AP198" i="22"/>
  <c r="AU198" i="22"/>
  <c r="AL196" i="21"/>
  <c r="F15" i="21" l="1"/>
  <c r="F16" i="21"/>
  <c r="F17" i="21"/>
  <c r="F20" i="21"/>
  <c r="F21" i="21"/>
  <c r="F22" i="21"/>
  <c r="F25" i="21"/>
  <c r="F26" i="21"/>
  <c r="F27" i="21"/>
  <c r="F28" i="21"/>
  <c r="F29" i="21"/>
  <c r="F30" i="21"/>
  <c r="F31" i="21"/>
  <c r="F32" i="21"/>
  <c r="F34" i="21"/>
  <c r="F35" i="21"/>
  <c r="F38" i="21"/>
  <c r="F40" i="21"/>
  <c r="F41" i="21"/>
  <c r="F42" i="21"/>
  <c r="F44" i="21"/>
  <c r="F47" i="21"/>
  <c r="F49" i="21"/>
  <c r="F50" i="21"/>
  <c r="F52" i="21"/>
  <c r="F54" i="21"/>
  <c r="F55" i="21"/>
  <c r="F56" i="21"/>
  <c r="F57" i="21"/>
  <c r="F58" i="21"/>
  <c r="F59" i="21"/>
  <c r="F60" i="21"/>
  <c r="F61" i="21"/>
  <c r="F65" i="21"/>
  <c r="F66" i="21"/>
  <c r="F68" i="21"/>
  <c r="F69" i="21"/>
  <c r="F70" i="21"/>
  <c r="F73" i="21"/>
  <c r="F74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9" i="21"/>
  <c r="F100" i="21"/>
  <c r="F101" i="21"/>
  <c r="F102" i="21"/>
  <c r="F103" i="21"/>
  <c r="F104" i="21"/>
  <c r="F105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20" i="21"/>
  <c r="F121" i="21"/>
  <c r="F123" i="21"/>
  <c r="F124" i="21"/>
  <c r="F125" i="21"/>
  <c r="F126" i="21"/>
  <c r="F127" i="21"/>
  <c r="F129" i="21"/>
  <c r="F130" i="21"/>
  <c r="F131" i="21"/>
  <c r="F132" i="21"/>
  <c r="F135" i="21"/>
  <c r="F137" i="21"/>
  <c r="F138" i="21"/>
  <c r="F139" i="21"/>
  <c r="F140" i="21"/>
  <c r="F141" i="21"/>
  <c r="F142" i="21"/>
  <c r="F144" i="21"/>
  <c r="F146" i="21"/>
  <c r="F147" i="21"/>
  <c r="F150" i="21"/>
  <c r="F151" i="21"/>
  <c r="F152" i="21"/>
  <c r="F156" i="21"/>
  <c r="F157" i="21"/>
  <c r="F158" i="21"/>
  <c r="F159" i="21"/>
  <c r="F160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2" i="21"/>
  <c r="F183" i="21"/>
  <c r="F184" i="21"/>
  <c r="F185" i="21"/>
  <c r="F188" i="21"/>
  <c r="F189" i="21"/>
  <c r="F191" i="21"/>
  <c r="F192" i="21"/>
  <c r="F193" i="21"/>
  <c r="F12" i="21"/>
  <c r="AJ101" i="24" l="1"/>
  <c r="AC125" i="22" l="1"/>
  <c r="E125" i="22"/>
  <c r="AE15" i="10" l="1"/>
  <c r="AE48" i="21" l="1"/>
  <c r="AD37" i="24" l="1"/>
  <c r="AC39" i="24" l="1"/>
  <c r="AC23" i="10" l="1"/>
  <c r="AB14" i="24" l="1"/>
  <c r="AB24" i="21" l="1"/>
  <c r="F24" i="21" s="1"/>
  <c r="AB31" i="1" l="1"/>
  <c r="AB24" i="1"/>
  <c r="AB31" i="24"/>
  <c r="AA45" i="21" l="1"/>
  <c r="F45" i="21" s="1"/>
  <c r="U13" i="21" l="1"/>
  <c r="F13" i="21" s="1"/>
  <c r="T190" i="1" l="1"/>
  <c r="AA16" i="10" l="1"/>
  <c r="AA21" i="4" l="1"/>
  <c r="AA64" i="22"/>
  <c r="AA18" i="22"/>
  <c r="E135" i="24" l="1"/>
  <c r="AA64" i="24"/>
  <c r="Z22" i="10" l="1"/>
  <c r="Z23" i="24" l="1"/>
  <c r="Z119" i="24"/>
  <c r="Z23" i="22" l="1"/>
  <c r="Z23" i="21"/>
  <c r="F23" i="21" s="1"/>
  <c r="Z21" i="4" l="1"/>
  <c r="G21" i="4" s="1"/>
  <c r="Z119" i="22"/>
  <c r="Z64" i="22"/>
  <c r="Z19" i="22"/>
  <c r="Z119" i="21" l="1"/>
  <c r="F119" i="21" s="1"/>
  <c r="Z64" i="21"/>
  <c r="Z119" i="1" l="1"/>
  <c r="Z64" i="1"/>
  <c r="Z19" i="1"/>
  <c r="Y36" i="18" l="1"/>
  <c r="Y63" i="24"/>
  <c r="X181" i="1"/>
  <c r="Y18" i="21" l="1"/>
  <c r="X148" i="24" l="1"/>
  <c r="X148" i="21"/>
  <c r="X148" i="22" l="1"/>
  <c r="W181" i="1"/>
  <c r="W194" i="24"/>
  <c r="W179" i="1"/>
  <c r="X148" i="1"/>
  <c r="W98" i="21" l="1"/>
  <c r="F98" i="21" s="1"/>
  <c r="W98" i="1"/>
  <c r="W53" i="24" l="1"/>
  <c r="W53" i="21"/>
  <c r="F53" i="21" s="1"/>
  <c r="W181" i="21"/>
  <c r="W53" i="22"/>
  <c r="W18" i="22"/>
  <c r="W194" i="1"/>
  <c r="W122" i="1"/>
  <c r="W24" i="1"/>
  <c r="W53" i="1"/>
  <c r="W14" i="1"/>
  <c r="W12" i="1"/>
  <c r="S18" i="10" l="1"/>
  <c r="Q22" i="10"/>
  <c r="V76" i="1" l="1"/>
  <c r="V19" i="1" l="1"/>
  <c r="V152" i="1"/>
  <c r="U40" i="18" l="1"/>
  <c r="U13" i="24"/>
  <c r="U13" i="22"/>
  <c r="T190" i="22"/>
  <c r="U128" i="21"/>
  <c r="U196" i="21" s="1"/>
  <c r="T190" i="21"/>
  <c r="F190" i="21" s="1"/>
  <c r="S68" i="1"/>
  <c r="U13" i="1"/>
  <c r="U159" i="1"/>
  <c r="U128" i="1"/>
  <c r="T24" i="24" l="1"/>
  <c r="T98" i="22"/>
  <c r="T71" i="21"/>
  <c r="F71" i="21" s="1"/>
  <c r="T51" i="24"/>
  <c r="T194" i="22"/>
  <c r="T122" i="22"/>
  <c r="T119" i="22"/>
  <c r="T81" i="1" l="1"/>
  <c r="S22" i="18" l="1"/>
  <c r="S148" i="1" l="1"/>
  <c r="S181" i="21" l="1"/>
  <c r="S148" i="21"/>
  <c r="F148" i="21" s="1"/>
  <c r="S122" i="21"/>
  <c r="S194" i="24"/>
  <c r="S148" i="24" l="1"/>
  <c r="S76" i="24"/>
  <c r="S196" i="24" l="1"/>
  <c r="S190" i="22"/>
  <c r="S20" i="18"/>
  <c r="S193" i="22"/>
  <c r="S181" i="22"/>
  <c r="S148" i="22"/>
  <c r="S15" i="22"/>
  <c r="S154" i="21" l="1"/>
  <c r="F154" i="21" s="1"/>
  <c r="S155" i="21"/>
  <c r="F155" i="21" s="1"/>
  <c r="S194" i="21"/>
  <c r="F194" i="21" s="1"/>
  <c r="S187" i="21"/>
  <c r="F187" i="21" s="1"/>
  <c r="S186" i="21"/>
  <c r="F186" i="21" s="1"/>
  <c r="S143" i="21"/>
  <c r="F143" i="21" s="1"/>
  <c r="S134" i="21"/>
  <c r="F134" i="21" s="1"/>
  <c r="S133" i="21"/>
  <c r="F133" i="21" s="1"/>
  <c r="S106" i="21"/>
  <c r="F106" i="21" s="1"/>
  <c r="S90" i="21"/>
  <c r="F90" i="21" s="1"/>
  <c r="S76" i="21"/>
  <c r="F76" i="21" s="1"/>
  <c r="S75" i="21"/>
  <c r="F75" i="21" s="1"/>
  <c r="S67" i="21"/>
  <c r="F67" i="21" s="1"/>
  <c r="S48" i="21"/>
  <c r="F48" i="21" s="1"/>
  <c r="S46" i="21"/>
  <c r="F46" i="21" s="1"/>
  <c r="S36" i="21"/>
  <c r="F36" i="21" s="1"/>
  <c r="S194" i="1" l="1"/>
  <c r="S181" i="1"/>
  <c r="S76" i="1"/>
  <c r="S55" i="1"/>
  <c r="S20" i="1"/>
  <c r="S15" i="1"/>
  <c r="S196" i="1" l="1"/>
  <c r="D90" i="7"/>
  <c r="C25" i="7" l="1"/>
  <c r="C8" i="7"/>
  <c r="R16" i="10" l="1"/>
  <c r="R24" i="22" l="1"/>
  <c r="R64" i="22"/>
  <c r="R18" i="22"/>
  <c r="R106" i="24"/>
  <c r="R145" i="24"/>
  <c r="R64" i="24"/>
  <c r="R39" i="24"/>
  <c r="R40" i="18" l="1"/>
  <c r="Q40" i="18"/>
  <c r="R145" i="21"/>
  <c r="R72" i="21"/>
  <c r="F72" i="21" s="1"/>
  <c r="R64" i="21"/>
  <c r="F64" i="21" s="1"/>
  <c r="R39" i="21"/>
  <c r="R33" i="21"/>
  <c r="F33" i="21" s="1"/>
  <c r="R18" i="21"/>
  <c r="R106" i="1"/>
  <c r="R64" i="1"/>
  <c r="R39" i="1"/>
  <c r="R145" i="1"/>
  <c r="R24" i="1"/>
  <c r="R18" i="1"/>
  <c r="R12" i="11"/>
  <c r="Q51" i="21" l="1"/>
  <c r="F51" i="21" s="1"/>
  <c r="Q15" i="1" l="1"/>
  <c r="Q51" i="1" l="1"/>
  <c r="Q181" i="1"/>
  <c r="Q149" i="1"/>
  <c r="Q102" i="1"/>
  <c r="Q63" i="1"/>
  <c r="Q37" i="1"/>
  <c r="Q181" i="21" l="1"/>
  <c r="F181" i="21" s="1"/>
  <c r="Q149" i="21" l="1"/>
  <c r="F149" i="21" s="1"/>
  <c r="Q63" i="21"/>
  <c r="F63" i="21" s="1"/>
  <c r="Q37" i="21"/>
  <c r="Q196" i="21" s="1"/>
  <c r="Q181" i="22"/>
  <c r="Q63" i="22"/>
  <c r="Q51" i="22"/>
  <c r="Q37" i="22"/>
  <c r="Q102" i="24"/>
  <c r="E196" i="24"/>
  <c r="Q149" i="24"/>
  <c r="Q14" i="10" l="1"/>
  <c r="P194" i="24" l="1"/>
  <c r="P12" i="24"/>
  <c r="P161" i="21" l="1"/>
  <c r="F161" i="21" s="1"/>
  <c r="P194" i="1"/>
  <c r="P161" i="1"/>
  <c r="P148" i="1"/>
  <c r="P12" i="1"/>
  <c r="N13" i="22" l="1"/>
  <c r="O108" i="24" l="1"/>
  <c r="O18" i="22" l="1"/>
  <c r="O18" i="21" l="1"/>
  <c r="O108" i="1"/>
  <c r="O18" i="1"/>
  <c r="AX40" i="18" l="1"/>
  <c r="AW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T40" i="18"/>
  <c r="S40" i="18"/>
  <c r="P40" i="18"/>
  <c r="O40" i="18"/>
  <c r="M40" i="18"/>
  <c r="L40" i="18"/>
  <c r="K40" i="18"/>
  <c r="J40" i="18"/>
  <c r="I40" i="18"/>
  <c r="H40" i="18"/>
  <c r="C40" i="18"/>
  <c r="G38" i="18"/>
  <c r="J155" i="7" s="1"/>
  <c r="G37" i="18"/>
  <c r="J145" i="7" s="1"/>
  <c r="G36" i="18"/>
  <c r="J137" i="7" s="1"/>
  <c r="G35" i="18"/>
  <c r="J136" i="7" s="1"/>
  <c r="G34" i="18"/>
  <c r="J125" i="7" s="1"/>
  <c r="G33" i="18"/>
  <c r="J124" i="7" s="1"/>
  <c r="G32" i="18"/>
  <c r="J123" i="7" s="1"/>
  <c r="G31" i="18"/>
  <c r="J117" i="7" s="1"/>
  <c r="G30" i="18"/>
  <c r="J114" i="7" s="1"/>
  <c r="G29" i="18"/>
  <c r="J99" i="7" s="1"/>
  <c r="G28" i="18"/>
  <c r="J97" i="7" s="1"/>
  <c r="G27" i="18"/>
  <c r="J96" i="7" s="1"/>
  <c r="G26" i="18"/>
  <c r="J95" i="7" s="1"/>
  <c r="G25" i="18"/>
  <c r="J89" i="7" s="1"/>
  <c r="G24" i="18"/>
  <c r="J83" i="7" s="1"/>
  <c r="G22" i="18"/>
  <c r="J78" i="7" s="1"/>
  <c r="G21" i="18"/>
  <c r="J77" i="7" s="1"/>
  <c r="G20" i="18"/>
  <c r="J67" i="7" s="1"/>
  <c r="G19" i="18"/>
  <c r="J42" i="7" s="1"/>
  <c r="G18" i="18"/>
  <c r="J39" i="7" s="1"/>
  <c r="G17" i="18"/>
  <c r="J38" i="7" s="1"/>
  <c r="G16" i="18"/>
  <c r="J37" i="7" s="1"/>
  <c r="G15" i="18"/>
  <c r="J35" i="7" s="1"/>
  <c r="G14" i="18"/>
  <c r="J26" i="7" s="1"/>
  <c r="G13" i="18"/>
  <c r="J20" i="7" s="1"/>
  <c r="E23" i="18"/>
  <c r="E40" i="18" s="1"/>
  <c r="G193" i="24"/>
  <c r="I185" i="7" s="1"/>
  <c r="G192" i="24"/>
  <c r="I184" i="7" s="1"/>
  <c r="G191" i="24"/>
  <c r="I183" i="7" s="1"/>
  <c r="G190" i="24"/>
  <c r="I182" i="7" s="1"/>
  <c r="G189" i="24"/>
  <c r="I181" i="7" s="1"/>
  <c r="G188" i="24"/>
  <c r="I180" i="7" s="1"/>
  <c r="G187" i="24"/>
  <c r="I179" i="7" s="1"/>
  <c r="G186" i="24"/>
  <c r="I178" i="7" s="1"/>
  <c r="G185" i="24"/>
  <c r="I177" i="7" s="1"/>
  <c r="G184" i="24"/>
  <c r="I176" i="7" s="1"/>
  <c r="G183" i="24"/>
  <c r="I175" i="7" s="1"/>
  <c r="G182" i="24"/>
  <c r="I174" i="7" s="1"/>
  <c r="G181" i="24"/>
  <c r="I173" i="7" s="1"/>
  <c r="G180" i="24"/>
  <c r="I172" i="7" s="1"/>
  <c r="G179" i="24"/>
  <c r="I171" i="7" s="1"/>
  <c r="G178" i="24"/>
  <c r="I170" i="7" s="1"/>
  <c r="G177" i="24"/>
  <c r="I169" i="7" s="1"/>
  <c r="G176" i="24"/>
  <c r="I168" i="7" s="1"/>
  <c r="G175" i="24"/>
  <c r="I167" i="7" s="1"/>
  <c r="G174" i="24"/>
  <c r="I166" i="7" s="1"/>
  <c r="G173" i="24"/>
  <c r="I165" i="7" s="1"/>
  <c r="G172" i="24"/>
  <c r="I164" i="7" s="1"/>
  <c r="G171" i="24"/>
  <c r="I163" i="7" s="1"/>
  <c r="G170" i="24"/>
  <c r="I162" i="7" s="1"/>
  <c r="G169" i="24"/>
  <c r="I161" i="7" s="1"/>
  <c r="G168" i="24"/>
  <c r="I160" i="7" s="1"/>
  <c r="G167" i="24"/>
  <c r="I159" i="7" s="1"/>
  <c r="G166" i="24"/>
  <c r="I158" i="7" s="1"/>
  <c r="G165" i="24"/>
  <c r="I157" i="7" s="1"/>
  <c r="G164" i="24"/>
  <c r="I156" i="7" s="1"/>
  <c r="G163" i="24"/>
  <c r="I155" i="7" s="1"/>
  <c r="G162" i="24"/>
  <c r="I154" i="7" s="1"/>
  <c r="G161" i="24"/>
  <c r="I153" i="7" s="1"/>
  <c r="G160" i="24"/>
  <c r="I152" i="7" s="1"/>
  <c r="G159" i="24"/>
  <c r="I151" i="7" s="1"/>
  <c r="G158" i="24"/>
  <c r="I150" i="7" s="1"/>
  <c r="G157" i="24"/>
  <c r="I149" i="7" s="1"/>
  <c r="G156" i="24"/>
  <c r="I148" i="7" s="1"/>
  <c r="G155" i="24"/>
  <c r="I147" i="7" s="1"/>
  <c r="G154" i="24"/>
  <c r="I146" i="7" s="1"/>
  <c r="G153" i="24"/>
  <c r="I145" i="7" s="1"/>
  <c r="G152" i="24"/>
  <c r="I144" i="7" s="1"/>
  <c r="G151" i="24"/>
  <c r="I143" i="7" s="1"/>
  <c r="G150" i="24"/>
  <c r="I142" i="7" s="1"/>
  <c r="G149" i="24"/>
  <c r="I141" i="7" s="1"/>
  <c r="G148" i="24"/>
  <c r="I140" i="7" s="1"/>
  <c r="G147" i="24"/>
  <c r="I139" i="7" s="1"/>
  <c r="G146" i="24"/>
  <c r="I138" i="7" s="1"/>
  <c r="G145" i="24"/>
  <c r="I137" i="7" s="1"/>
  <c r="G144" i="24"/>
  <c r="I136" i="7" s="1"/>
  <c r="G143" i="24"/>
  <c r="I135" i="7" s="1"/>
  <c r="G142" i="24"/>
  <c r="I134" i="7" s="1"/>
  <c r="G141" i="24"/>
  <c r="I133" i="7" s="1"/>
  <c r="G140" i="24"/>
  <c r="I132" i="7" s="1"/>
  <c r="G139" i="24"/>
  <c r="I131" i="7" s="1"/>
  <c r="G138" i="24"/>
  <c r="I130" i="7" s="1"/>
  <c r="G137" i="24"/>
  <c r="I129" i="7" s="1"/>
  <c r="G136" i="24"/>
  <c r="I128" i="7" s="1"/>
  <c r="G135" i="24"/>
  <c r="I127" i="7" s="1"/>
  <c r="G134" i="24"/>
  <c r="I126" i="7" s="1"/>
  <c r="G133" i="24"/>
  <c r="I125" i="7" s="1"/>
  <c r="G132" i="24"/>
  <c r="I124" i="7" s="1"/>
  <c r="G131" i="24"/>
  <c r="I123" i="7" s="1"/>
  <c r="G130" i="24"/>
  <c r="I122" i="7" s="1"/>
  <c r="G129" i="24"/>
  <c r="I121" i="7" s="1"/>
  <c r="G128" i="24"/>
  <c r="I120" i="7" s="1"/>
  <c r="G127" i="24"/>
  <c r="I119" i="7" s="1"/>
  <c r="G126" i="24"/>
  <c r="I118" i="7" s="1"/>
  <c r="G125" i="24"/>
  <c r="I117" i="7" s="1"/>
  <c r="G124" i="24"/>
  <c r="I116" i="7" s="1"/>
  <c r="G123" i="24"/>
  <c r="I115" i="7" s="1"/>
  <c r="G122" i="24"/>
  <c r="I114" i="7" s="1"/>
  <c r="G121" i="24"/>
  <c r="I113" i="7" s="1"/>
  <c r="G120" i="24"/>
  <c r="I112" i="7" s="1"/>
  <c r="G119" i="24"/>
  <c r="I111" i="7" s="1"/>
  <c r="G118" i="24"/>
  <c r="I110" i="7" s="1"/>
  <c r="G117" i="24"/>
  <c r="I109" i="7" s="1"/>
  <c r="G116" i="24"/>
  <c r="I108" i="7" s="1"/>
  <c r="G115" i="24"/>
  <c r="I107" i="7" s="1"/>
  <c r="G114" i="24"/>
  <c r="I106" i="7" s="1"/>
  <c r="G113" i="24"/>
  <c r="I105" i="7" s="1"/>
  <c r="G112" i="24"/>
  <c r="I104" i="7" s="1"/>
  <c r="G111" i="24"/>
  <c r="I103" i="7" s="1"/>
  <c r="G110" i="24"/>
  <c r="I102" i="7" s="1"/>
  <c r="G109" i="24"/>
  <c r="I101" i="7" s="1"/>
  <c r="G107" i="24"/>
  <c r="I99" i="7" s="1"/>
  <c r="G106" i="24"/>
  <c r="I98" i="7" s="1"/>
  <c r="G105" i="24"/>
  <c r="I97" i="7" s="1"/>
  <c r="G104" i="24"/>
  <c r="I96" i="7" s="1"/>
  <c r="G103" i="24"/>
  <c r="I95" i="7" s="1"/>
  <c r="G101" i="24"/>
  <c r="I93" i="7" s="1"/>
  <c r="G100" i="24"/>
  <c r="I92" i="7" s="1"/>
  <c r="G99" i="24"/>
  <c r="I91" i="7" s="1"/>
  <c r="G98" i="24"/>
  <c r="I90" i="7" s="1"/>
  <c r="G97" i="24"/>
  <c r="I89" i="7" s="1"/>
  <c r="G96" i="24"/>
  <c r="I88" i="7" s="1"/>
  <c r="G95" i="24"/>
  <c r="I87" i="7" s="1"/>
  <c r="G94" i="24"/>
  <c r="I86" i="7" s="1"/>
  <c r="G93" i="24"/>
  <c r="I85" i="7" s="1"/>
  <c r="G92" i="24"/>
  <c r="I84" i="7" s="1"/>
  <c r="G91" i="24"/>
  <c r="I83" i="7" s="1"/>
  <c r="G90" i="24"/>
  <c r="I82" i="7" s="1"/>
  <c r="G89" i="24"/>
  <c r="I81" i="7" s="1"/>
  <c r="G88" i="24"/>
  <c r="I80" i="7" s="1"/>
  <c r="G87" i="24"/>
  <c r="I79" i="7" s="1"/>
  <c r="G86" i="24"/>
  <c r="I78" i="7" s="1"/>
  <c r="G85" i="24"/>
  <c r="I77" i="7" s="1"/>
  <c r="G84" i="24"/>
  <c r="I76" i="7" s="1"/>
  <c r="G83" i="24"/>
  <c r="I75" i="7" s="1"/>
  <c r="G82" i="24"/>
  <c r="I74" i="7" s="1"/>
  <c r="G81" i="24"/>
  <c r="I73" i="7" s="1"/>
  <c r="G80" i="24"/>
  <c r="I72" i="7" s="1"/>
  <c r="G79" i="24"/>
  <c r="I71" i="7" s="1"/>
  <c r="G78" i="24"/>
  <c r="I70" i="7" s="1"/>
  <c r="G77" i="24"/>
  <c r="I69" i="7" s="1"/>
  <c r="G76" i="24"/>
  <c r="I68" i="7" s="1"/>
  <c r="G75" i="24"/>
  <c r="I67" i="7" s="1"/>
  <c r="G74" i="24"/>
  <c r="I66" i="7" s="1"/>
  <c r="G73" i="24"/>
  <c r="I65" i="7" s="1"/>
  <c r="G72" i="24"/>
  <c r="I64" i="7" s="1"/>
  <c r="G71" i="24"/>
  <c r="I63" i="7" s="1"/>
  <c r="G70" i="24"/>
  <c r="I62" i="7" s="1"/>
  <c r="G69" i="24"/>
  <c r="I61" i="7" s="1"/>
  <c r="G68" i="24"/>
  <c r="I60" i="7" s="1"/>
  <c r="G67" i="24"/>
  <c r="I59" i="7" s="1"/>
  <c r="G66" i="24"/>
  <c r="I58" i="7" s="1"/>
  <c r="G65" i="24"/>
  <c r="I57" i="7" s="1"/>
  <c r="G64" i="24"/>
  <c r="I56" i="7" s="1"/>
  <c r="G63" i="24"/>
  <c r="I55" i="7" s="1"/>
  <c r="G61" i="24"/>
  <c r="I53" i="7" s="1"/>
  <c r="G60" i="24"/>
  <c r="I52" i="7" s="1"/>
  <c r="G59" i="24"/>
  <c r="I51" i="7" s="1"/>
  <c r="G58" i="24"/>
  <c r="I50" i="7" s="1"/>
  <c r="G57" i="24"/>
  <c r="I49" i="7" s="1"/>
  <c r="G56" i="24"/>
  <c r="I48" i="7" s="1"/>
  <c r="G55" i="24"/>
  <c r="I47" i="7" s="1"/>
  <c r="G54" i="24"/>
  <c r="I46" i="7" s="1"/>
  <c r="G53" i="24"/>
  <c r="I45" i="7" s="1"/>
  <c r="G52" i="24"/>
  <c r="I44" i="7" s="1"/>
  <c r="G51" i="24"/>
  <c r="I43" i="7" s="1"/>
  <c r="G50" i="24"/>
  <c r="I42" i="7" s="1"/>
  <c r="G49" i="24"/>
  <c r="I41" i="7" s="1"/>
  <c r="G48" i="24"/>
  <c r="I40" i="7" s="1"/>
  <c r="G47" i="24"/>
  <c r="I39" i="7" s="1"/>
  <c r="G46" i="24"/>
  <c r="I38" i="7" s="1"/>
  <c r="G45" i="24"/>
  <c r="I37" i="7" s="1"/>
  <c r="G44" i="24"/>
  <c r="I36" i="7" s="1"/>
  <c r="G42" i="24"/>
  <c r="I34" i="7" s="1"/>
  <c r="G41" i="24"/>
  <c r="I33" i="7" s="1"/>
  <c r="G40" i="24"/>
  <c r="I32" i="7" s="1"/>
  <c r="G39" i="24"/>
  <c r="I31" i="7" s="1"/>
  <c r="G38" i="24"/>
  <c r="I30" i="7" s="1"/>
  <c r="G37" i="24"/>
  <c r="I29" i="7" s="1"/>
  <c r="G36" i="24"/>
  <c r="I28" i="7" s="1"/>
  <c r="G35" i="24"/>
  <c r="I27" i="7" s="1"/>
  <c r="G34" i="24"/>
  <c r="I26" i="7" s="1"/>
  <c r="G33" i="24"/>
  <c r="I25" i="7" s="1"/>
  <c r="G32" i="24"/>
  <c r="I24" i="7" s="1"/>
  <c r="G31" i="24"/>
  <c r="I23" i="7" s="1"/>
  <c r="G30" i="24"/>
  <c r="I22" i="7" s="1"/>
  <c r="G29" i="24"/>
  <c r="I21" i="7" s="1"/>
  <c r="G28" i="24"/>
  <c r="I20" i="7" s="1"/>
  <c r="G27" i="24"/>
  <c r="I19" i="7" s="1"/>
  <c r="G26" i="24"/>
  <c r="I18" i="7" s="1"/>
  <c r="G25" i="24"/>
  <c r="I17" i="7" s="1"/>
  <c r="G24" i="24"/>
  <c r="I16" i="7" s="1"/>
  <c r="G23" i="24"/>
  <c r="I15" i="7" s="1"/>
  <c r="G22" i="24"/>
  <c r="I14" i="7" s="1"/>
  <c r="G21" i="24"/>
  <c r="I13" i="7" s="1"/>
  <c r="G20" i="24"/>
  <c r="I12" i="7" s="1"/>
  <c r="G18" i="24"/>
  <c r="I10" i="7" s="1"/>
  <c r="G17" i="24"/>
  <c r="I9" i="7" s="1"/>
  <c r="G16" i="24"/>
  <c r="I8" i="7" s="1"/>
  <c r="G15" i="24"/>
  <c r="I7" i="7" s="1"/>
  <c r="G14" i="24"/>
  <c r="I6" i="7" s="1"/>
  <c r="G13" i="24"/>
  <c r="I5" i="7" s="1"/>
  <c r="G12" i="24"/>
  <c r="AX196" i="24"/>
  <c r="AW196" i="24"/>
  <c r="AK196" i="24"/>
  <c r="AJ196" i="24"/>
  <c r="AI196" i="24"/>
  <c r="AM50" i="4"/>
  <c r="AL50" i="4"/>
  <c r="AK50" i="4"/>
  <c r="AJ50" i="4"/>
  <c r="AI50" i="4"/>
  <c r="AK198" i="22"/>
  <c r="AJ198" i="22"/>
  <c r="AI198" i="22"/>
  <c r="AH198" i="22"/>
  <c r="AG198" i="22"/>
  <c r="AF198" i="22"/>
  <c r="AE198" i="22"/>
  <c r="AD198" i="22"/>
  <c r="AC198" i="22"/>
  <c r="AB198" i="22"/>
  <c r="AA198" i="22"/>
  <c r="Z198" i="22"/>
  <c r="Y198" i="22"/>
  <c r="X198" i="22"/>
  <c r="W198" i="22"/>
  <c r="V198" i="22"/>
  <c r="U198" i="22"/>
  <c r="T198" i="22"/>
  <c r="S198" i="22"/>
  <c r="S201" i="22" s="1"/>
  <c r="R198" i="22"/>
  <c r="Q198" i="22"/>
  <c r="P198" i="22"/>
  <c r="P200" i="22" s="1"/>
  <c r="O198" i="22"/>
  <c r="K198" i="22"/>
  <c r="J198" i="22"/>
  <c r="I198" i="22"/>
  <c r="H198" i="22"/>
  <c r="C198" i="22"/>
  <c r="G196" i="22"/>
  <c r="G191" i="7" s="1"/>
  <c r="G195" i="22"/>
  <c r="G190" i="7" s="1"/>
  <c r="G194" i="22"/>
  <c r="G188" i="7" s="1"/>
  <c r="G193" i="22"/>
  <c r="G186" i="7" s="1"/>
  <c r="G192" i="22"/>
  <c r="G185" i="7" s="1"/>
  <c r="G191" i="22"/>
  <c r="G184" i="7" s="1"/>
  <c r="G189" i="22"/>
  <c r="G181" i="7" s="1"/>
  <c r="G188" i="22"/>
  <c r="G180" i="7" s="1"/>
  <c r="G187" i="22"/>
  <c r="G179" i="7" s="1"/>
  <c r="G186" i="22"/>
  <c r="G178" i="7" s="1"/>
  <c r="G185" i="22"/>
  <c r="G177" i="7" s="1"/>
  <c r="G184" i="22"/>
  <c r="G183" i="22"/>
  <c r="G175" i="7" s="1"/>
  <c r="G182" i="22"/>
  <c r="G174" i="7" s="1"/>
  <c r="G181" i="22"/>
  <c r="G173" i="7" s="1"/>
  <c r="G180" i="22"/>
  <c r="G172" i="7" s="1"/>
  <c r="G179" i="22"/>
  <c r="G171" i="7" s="1"/>
  <c r="G178" i="22"/>
  <c r="G170" i="7" s="1"/>
  <c r="G177" i="22"/>
  <c r="G169" i="7" s="1"/>
  <c r="G176" i="22"/>
  <c r="G168" i="7" s="1"/>
  <c r="G175" i="22"/>
  <c r="G167" i="7" s="1"/>
  <c r="G174" i="22"/>
  <c r="G166" i="7" s="1"/>
  <c r="G173" i="22"/>
  <c r="G165" i="7" s="1"/>
  <c r="G172" i="22"/>
  <c r="G164" i="7" s="1"/>
  <c r="G171" i="22"/>
  <c r="G163" i="7" s="1"/>
  <c r="G170" i="22"/>
  <c r="G162" i="7" s="1"/>
  <c r="G169" i="22"/>
  <c r="G161" i="7" s="1"/>
  <c r="G168" i="22"/>
  <c r="G160" i="7" s="1"/>
  <c r="G167" i="22"/>
  <c r="G159" i="7" s="1"/>
  <c r="G166" i="22"/>
  <c r="G158" i="7" s="1"/>
  <c r="G165" i="22"/>
  <c r="G157" i="7" s="1"/>
  <c r="G164" i="22"/>
  <c r="G156" i="7" s="1"/>
  <c r="G163" i="22"/>
  <c r="G155" i="7" s="1"/>
  <c r="G162" i="22"/>
  <c r="G154" i="7" s="1"/>
  <c r="G161" i="22"/>
  <c r="G153" i="7" s="1"/>
  <c r="G160" i="22"/>
  <c r="G152" i="7" s="1"/>
  <c r="G159" i="22"/>
  <c r="G151" i="7" s="1"/>
  <c r="G158" i="22"/>
  <c r="G150" i="7" s="1"/>
  <c r="G157" i="22"/>
  <c r="G149" i="7" s="1"/>
  <c r="G155" i="22"/>
  <c r="G147" i="7" s="1"/>
  <c r="G154" i="22"/>
  <c r="G146" i="7" s="1"/>
  <c r="G153" i="22"/>
  <c r="G145" i="7" s="1"/>
  <c r="G152" i="22"/>
  <c r="G144" i="7" s="1"/>
  <c r="G151" i="22"/>
  <c r="G143" i="7" s="1"/>
  <c r="G150" i="22"/>
  <c r="G142" i="7" s="1"/>
  <c r="G149" i="22"/>
  <c r="G141" i="7" s="1"/>
  <c r="G148" i="22"/>
  <c r="G140" i="7" s="1"/>
  <c r="G147" i="22"/>
  <c r="G139" i="7" s="1"/>
  <c r="G146" i="22"/>
  <c r="G138" i="7" s="1"/>
  <c r="G145" i="22"/>
  <c r="G137" i="7" s="1"/>
  <c r="G144" i="22"/>
  <c r="G136" i="7" s="1"/>
  <c r="G143" i="22"/>
  <c r="G135" i="7" s="1"/>
  <c r="G142" i="22"/>
  <c r="G134" i="7" s="1"/>
  <c r="G141" i="22"/>
  <c r="G133" i="7" s="1"/>
  <c r="G140" i="22"/>
  <c r="G132" i="7" s="1"/>
  <c r="G139" i="22"/>
  <c r="G131" i="7" s="1"/>
  <c r="G138" i="22"/>
  <c r="G130" i="7" s="1"/>
  <c r="G137" i="22"/>
  <c r="G129" i="7" s="1"/>
  <c r="G136" i="22"/>
  <c r="G128" i="7" s="1"/>
  <c r="G135" i="22"/>
  <c r="G127" i="7" s="1"/>
  <c r="G134" i="22"/>
  <c r="G126" i="7" s="1"/>
  <c r="G133" i="22"/>
  <c r="G125" i="7" s="1"/>
  <c r="G132" i="22"/>
  <c r="G124" i="7" s="1"/>
  <c r="G131" i="22"/>
  <c r="G123" i="7" s="1"/>
  <c r="G130" i="22"/>
  <c r="G122" i="7" s="1"/>
  <c r="G129" i="22"/>
  <c r="G121" i="7" s="1"/>
  <c r="G127" i="22"/>
  <c r="G119" i="7" s="1"/>
  <c r="G126" i="22"/>
  <c r="G118" i="7" s="1"/>
  <c r="G124" i="22"/>
  <c r="G116" i="7" s="1"/>
  <c r="G123" i="22"/>
  <c r="G115" i="7" s="1"/>
  <c r="G121" i="22"/>
  <c r="G113" i="7" s="1"/>
  <c r="G120" i="22"/>
  <c r="G112" i="7" s="1"/>
  <c r="G119" i="22"/>
  <c r="G111" i="7" s="1"/>
  <c r="G118" i="22"/>
  <c r="G110" i="7" s="1"/>
  <c r="G117" i="22"/>
  <c r="G109" i="7" s="1"/>
  <c r="G116" i="22"/>
  <c r="G108" i="7" s="1"/>
  <c r="G115" i="22"/>
  <c r="G107" i="7" s="1"/>
  <c r="G114" i="22"/>
  <c r="G106" i="7" s="1"/>
  <c r="G113" i="22"/>
  <c r="G105" i="7" s="1"/>
  <c r="G112" i="22"/>
  <c r="G104" i="7" s="1"/>
  <c r="G111" i="22"/>
  <c r="G103" i="7" s="1"/>
  <c r="G110" i="22"/>
  <c r="G102" i="7" s="1"/>
  <c r="G109" i="22"/>
  <c r="G101" i="7" s="1"/>
  <c r="G108" i="22"/>
  <c r="G100" i="7" s="1"/>
  <c r="G107" i="22"/>
  <c r="G99" i="7" s="1"/>
  <c r="G106" i="22"/>
  <c r="G98" i="7" s="1"/>
  <c r="G105" i="22"/>
  <c r="G97" i="7" s="1"/>
  <c r="G104" i="22"/>
  <c r="G96" i="7" s="1"/>
  <c r="G103" i="22"/>
  <c r="G95" i="7" s="1"/>
  <c r="G102" i="22"/>
  <c r="G94" i="7" s="1"/>
  <c r="G101" i="22"/>
  <c r="G93" i="7" s="1"/>
  <c r="G100" i="22"/>
  <c r="G92" i="7" s="1"/>
  <c r="G99" i="22"/>
  <c r="G91" i="7" s="1"/>
  <c r="G98" i="22"/>
  <c r="G90" i="7" s="1"/>
  <c r="G97" i="22"/>
  <c r="G89" i="7" s="1"/>
  <c r="G96" i="22"/>
  <c r="G88" i="7" s="1"/>
  <c r="G95" i="22"/>
  <c r="G87" i="7" s="1"/>
  <c r="G94" i="22"/>
  <c r="G86" i="7" s="1"/>
  <c r="G93" i="22"/>
  <c r="G85" i="7" s="1"/>
  <c r="G92" i="22"/>
  <c r="G84" i="7" s="1"/>
  <c r="G91" i="22"/>
  <c r="G83" i="7" s="1"/>
  <c r="G90" i="22"/>
  <c r="G82" i="7" s="1"/>
  <c r="G89" i="22"/>
  <c r="G81" i="7" s="1"/>
  <c r="G88" i="22"/>
  <c r="G80" i="7" s="1"/>
  <c r="G87" i="22"/>
  <c r="G79" i="7" s="1"/>
  <c r="G86" i="22"/>
  <c r="G78" i="7" s="1"/>
  <c r="G85" i="22"/>
  <c r="G77" i="7" s="1"/>
  <c r="G84" i="22"/>
  <c r="G76" i="7" s="1"/>
  <c r="G83" i="22"/>
  <c r="G75" i="7" s="1"/>
  <c r="G82" i="22"/>
  <c r="G74" i="7" s="1"/>
  <c r="G81" i="22"/>
  <c r="G73" i="7" s="1"/>
  <c r="G80" i="22"/>
  <c r="G72" i="7" s="1"/>
  <c r="G79" i="22"/>
  <c r="G71" i="7" s="1"/>
  <c r="G78" i="22"/>
  <c r="G70" i="7" s="1"/>
  <c r="G77" i="22"/>
  <c r="G69" i="7" s="1"/>
  <c r="G76" i="22"/>
  <c r="G68" i="7" s="1"/>
  <c r="G74" i="22"/>
  <c r="G66" i="7" s="1"/>
  <c r="G73" i="22"/>
  <c r="G65" i="7" s="1"/>
  <c r="G72" i="22"/>
  <c r="G64" i="7" s="1"/>
  <c r="G71" i="22"/>
  <c r="G63" i="7" s="1"/>
  <c r="G70" i="22"/>
  <c r="G62" i="7" s="1"/>
  <c r="G69" i="22"/>
  <c r="G61" i="7" s="1"/>
  <c r="G68" i="22"/>
  <c r="G60" i="7" s="1"/>
  <c r="G67" i="22"/>
  <c r="G59" i="7" s="1"/>
  <c r="G66" i="22"/>
  <c r="G58" i="7" s="1"/>
  <c r="G64" i="22"/>
  <c r="G56" i="7" s="1"/>
  <c r="G63" i="22"/>
  <c r="G55" i="7" s="1"/>
  <c r="G62" i="22"/>
  <c r="G54" i="7" s="1"/>
  <c r="G61" i="22"/>
  <c r="G53" i="7" s="1"/>
  <c r="G60" i="22"/>
  <c r="G52" i="7" s="1"/>
  <c r="G59" i="22"/>
  <c r="G51" i="7" s="1"/>
  <c r="G58" i="22"/>
  <c r="G50" i="7" s="1"/>
  <c r="G57" i="22"/>
  <c r="G49" i="7" s="1"/>
  <c r="G56" i="22"/>
  <c r="G48" i="7" s="1"/>
  <c r="G55" i="22"/>
  <c r="G47" i="7" s="1"/>
  <c r="G54" i="22"/>
  <c r="G46" i="7" s="1"/>
  <c r="G52" i="22"/>
  <c r="G44" i="7" s="1"/>
  <c r="G51" i="22"/>
  <c r="G43" i="7" s="1"/>
  <c r="G50" i="22"/>
  <c r="G42" i="7" s="1"/>
  <c r="G49" i="22"/>
  <c r="G41" i="7" s="1"/>
  <c r="G48" i="22"/>
  <c r="G40" i="7" s="1"/>
  <c r="G47" i="22"/>
  <c r="G39" i="7" s="1"/>
  <c r="G46" i="22"/>
  <c r="G38" i="7" s="1"/>
  <c r="G45" i="22"/>
  <c r="G37" i="7" s="1"/>
  <c r="G44" i="22"/>
  <c r="G36" i="7" s="1"/>
  <c r="G43" i="22"/>
  <c r="G35" i="7" s="1"/>
  <c r="G42" i="22"/>
  <c r="G34" i="7" s="1"/>
  <c r="G41" i="22"/>
  <c r="G33" i="7" s="1"/>
  <c r="G40" i="22"/>
  <c r="G32" i="7" s="1"/>
  <c r="G39" i="22"/>
  <c r="G31" i="7" s="1"/>
  <c r="G38" i="22"/>
  <c r="G30" i="7" s="1"/>
  <c r="G36" i="22"/>
  <c r="G28" i="7" s="1"/>
  <c r="G35" i="22"/>
  <c r="G27" i="7" s="1"/>
  <c r="G34" i="22"/>
  <c r="G26" i="7" s="1"/>
  <c r="G33" i="22"/>
  <c r="G25" i="7" s="1"/>
  <c r="G32" i="22"/>
  <c r="G24" i="7" s="1"/>
  <c r="G31" i="22"/>
  <c r="G23" i="7" s="1"/>
  <c r="G30" i="22"/>
  <c r="G22" i="7" s="1"/>
  <c r="G29" i="22"/>
  <c r="G21" i="7" s="1"/>
  <c r="G28" i="22"/>
  <c r="G20" i="7" s="1"/>
  <c r="G27" i="22"/>
  <c r="G19" i="7" s="1"/>
  <c r="G26" i="22"/>
  <c r="G18" i="7" s="1"/>
  <c r="G25" i="22"/>
  <c r="G17" i="7" s="1"/>
  <c r="G24" i="22"/>
  <c r="G16" i="7" s="1"/>
  <c r="G23" i="22"/>
  <c r="G15" i="7" s="1"/>
  <c r="G22" i="22"/>
  <c r="G14" i="7" s="1"/>
  <c r="G21" i="22"/>
  <c r="G13" i="7" s="1"/>
  <c r="G20" i="22"/>
  <c r="G12" i="7" s="1"/>
  <c r="G19" i="22"/>
  <c r="G11" i="7" s="1"/>
  <c r="G18" i="22"/>
  <c r="G10" i="7" s="1"/>
  <c r="G17" i="22"/>
  <c r="G9" i="7" s="1"/>
  <c r="G16" i="22"/>
  <c r="G8" i="7" s="1"/>
  <c r="G15" i="22"/>
  <c r="G7" i="7" s="1"/>
  <c r="G14" i="22"/>
  <c r="G6" i="7" s="1"/>
  <c r="G12" i="22"/>
  <c r="E65" i="22"/>
  <c r="E156" i="22"/>
  <c r="E53" i="22"/>
  <c r="G194" i="21"/>
  <c r="F186" i="7" s="1"/>
  <c r="G193" i="21"/>
  <c r="F185" i="7" s="1"/>
  <c r="G192" i="21"/>
  <c r="F184" i="7" s="1"/>
  <c r="G191" i="21"/>
  <c r="F183" i="7" s="1"/>
  <c r="G190" i="21"/>
  <c r="F182" i="7" s="1"/>
  <c r="G189" i="21"/>
  <c r="F181" i="7" s="1"/>
  <c r="G188" i="21"/>
  <c r="F180" i="7" s="1"/>
  <c r="G187" i="21"/>
  <c r="F179" i="7" s="1"/>
  <c r="G186" i="21"/>
  <c r="F178" i="7" s="1"/>
  <c r="G185" i="21"/>
  <c r="F177" i="7" s="1"/>
  <c r="G184" i="21"/>
  <c r="F176" i="7" s="1"/>
  <c r="G183" i="21"/>
  <c r="F175" i="7" s="1"/>
  <c r="G182" i="21"/>
  <c r="F174" i="7" s="1"/>
  <c r="G181" i="21"/>
  <c r="F173" i="7" s="1"/>
  <c r="G180" i="21"/>
  <c r="F172" i="7" s="1"/>
  <c r="G179" i="21"/>
  <c r="F171" i="7" s="1"/>
  <c r="G178" i="21"/>
  <c r="F170" i="7" s="1"/>
  <c r="G177" i="21"/>
  <c r="F169" i="7" s="1"/>
  <c r="G176" i="21"/>
  <c r="F168" i="7" s="1"/>
  <c r="G175" i="21"/>
  <c r="F167" i="7" s="1"/>
  <c r="G174" i="21"/>
  <c r="F166" i="7" s="1"/>
  <c r="G173" i="21"/>
  <c r="F165" i="7" s="1"/>
  <c r="G172" i="21"/>
  <c r="F164" i="7" s="1"/>
  <c r="G171" i="21"/>
  <c r="F163" i="7" s="1"/>
  <c r="G170" i="21"/>
  <c r="F162" i="7" s="1"/>
  <c r="G169" i="21"/>
  <c r="F161" i="7" s="1"/>
  <c r="G168" i="21"/>
  <c r="F160" i="7" s="1"/>
  <c r="G167" i="21"/>
  <c r="F159" i="7" s="1"/>
  <c r="G166" i="21"/>
  <c r="F158" i="7" s="1"/>
  <c r="G165" i="21"/>
  <c r="F157" i="7" s="1"/>
  <c r="G164" i="21"/>
  <c r="F156" i="7" s="1"/>
  <c r="G163" i="21"/>
  <c r="F155" i="7" s="1"/>
  <c r="G162" i="21"/>
  <c r="F154" i="7" s="1"/>
  <c r="G161" i="21"/>
  <c r="F153" i="7" s="1"/>
  <c r="G160" i="21"/>
  <c r="F152" i="7" s="1"/>
  <c r="G159" i="21"/>
  <c r="F151" i="7" s="1"/>
  <c r="G158" i="21"/>
  <c r="F150" i="7" s="1"/>
  <c r="G157" i="21"/>
  <c r="F149" i="7" s="1"/>
  <c r="G156" i="21"/>
  <c r="F148" i="7" s="1"/>
  <c r="G155" i="21"/>
  <c r="F147" i="7" s="1"/>
  <c r="G154" i="21"/>
  <c r="F146" i="7" s="1"/>
  <c r="G152" i="21"/>
  <c r="F144" i="7" s="1"/>
  <c r="G151" i="21"/>
  <c r="F143" i="7" s="1"/>
  <c r="G150" i="21"/>
  <c r="F142" i="7" s="1"/>
  <c r="G149" i="21"/>
  <c r="F141" i="7" s="1"/>
  <c r="G148" i="21"/>
  <c r="F140" i="7" s="1"/>
  <c r="G147" i="21"/>
  <c r="F139" i="7" s="1"/>
  <c r="G146" i="21"/>
  <c r="F138" i="7" s="1"/>
  <c r="G144" i="21"/>
  <c r="F136" i="7" s="1"/>
  <c r="G143" i="21"/>
  <c r="F135" i="7" s="1"/>
  <c r="G142" i="21"/>
  <c r="F134" i="7" s="1"/>
  <c r="G141" i="21"/>
  <c r="F133" i="7" s="1"/>
  <c r="G140" i="21"/>
  <c r="F132" i="7" s="1"/>
  <c r="G139" i="21"/>
  <c r="F131" i="7" s="1"/>
  <c r="G138" i="21"/>
  <c r="F130" i="7" s="1"/>
  <c r="G137" i="21"/>
  <c r="F129" i="7" s="1"/>
  <c r="G135" i="21"/>
  <c r="F127" i="7" s="1"/>
  <c r="G134" i="21"/>
  <c r="F126" i="7" s="1"/>
  <c r="G133" i="21"/>
  <c r="F125" i="7" s="1"/>
  <c r="G132" i="21"/>
  <c r="F124" i="7" s="1"/>
  <c r="G131" i="21"/>
  <c r="F123" i="7" s="1"/>
  <c r="G130" i="21"/>
  <c r="F122" i="7" s="1"/>
  <c r="G129" i="21"/>
  <c r="F121" i="7" s="1"/>
  <c r="G127" i="21"/>
  <c r="F119" i="7" s="1"/>
  <c r="G126" i="21"/>
  <c r="F118" i="7" s="1"/>
  <c r="G125" i="21"/>
  <c r="F117" i="7" s="1"/>
  <c r="G124" i="21"/>
  <c r="F116" i="7" s="1"/>
  <c r="G123" i="21"/>
  <c r="F115" i="7" s="1"/>
  <c r="G121" i="21"/>
  <c r="F113" i="7" s="1"/>
  <c r="G120" i="21"/>
  <c r="F112" i="7" s="1"/>
  <c r="G119" i="21"/>
  <c r="F111" i="7" s="1"/>
  <c r="G118" i="21"/>
  <c r="F110" i="7" s="1"/>
  <c r="G117" i="21"/>
  <c r="F109" i="7" s="1"/>
  <c r="G116" i="21"/>
  <c r="F108" i="7" s="1"/>
  <c r="G115" i="21"/>
  <c r="F107" i="7" s="1"/>
  <c r="G114" i="21"/>
  <c r="F106" i="7" s="1"/>
  <c r="G113" i="21"/>
  <c r="F105" i="7" s="1"/>
  <c r="G112" i="21"/>
  <c r="F104" i="7" s="1"/>
  <c r="G111" i="21"/>
  <c r="F103" i="7" s="1"/>
  <c r="G110" i="21"/>
  <c r="F102" i="7" s="1"/>
  <c r="G109" i="21"/>
  <c r="F101" i="7" s="1"/>
  <c r="G108" i="21"/>
  <c r="F100" i="7" s="1"/>
  <c r="G107" i="21"/>
  <c r="F99" i="7" s="1"/>
  <c r="G106" i="21"/>
  <c r="F98" i="7" s="1"/>
  <c r="G105" i="21"/>
  <c r="F97" i="7" s="1"/>
  <c r="G104" i="21"/>
  <c r="F96" i="7" s="1"/>
  <c r="G103" i="21"/>
  <c r="F95" i="7" s="1"/>
  <c r="G102" i="21"/>
  <c r="F94" i="7" s="1"/>
  <c r="G101" i="21"/>
  <c r="F93" i="7" s="1"/>
  <c r="G100" i="21"/>
  <c r="F92" i="7" s="1"/>
  <c r="G99" i="21"/>
  <c r="F91" i="7" s="1"/>
  <c r="G98" i="21"/>
  <c r="F90" i="7" s="1"/>
  <c r="G97" i="21"/>
  <c r="F89" i="7" s="1"/>
  <c r="G96" i="21"/>
  <c r="F88" i="7" s="1"/>
  <c r="G95" i="21"/>
  <c r="F87" i="7" s="1"/>
  <c r="G94" i="21"/>
  <c r="F86" i="7" s="1"/>
  <c r="G93" i="21"/>
  <c r="F85" i="7" s="1"/>
  <c r="G92" i="21"/>
  <c r="F84" i="7" s="1"/>
  <c r="G91" i="21"/>
  <c r="F83" i="7" s="1"/>
  <c r="G90" i="21"/>
  <c r="F82" i="7" s="1"/>
  <c r="G89" i="21"/>
  <c r="F81" i="7" s="1"/>
  <c r="G88" i="21"/>
  <c r="F80" i="7" s="1"/>
  <c r="G87" i="21"/>
  <c r="F79" i="7" s="1"/>
  <c r="G86" i="21"/>
  <c r="F78" i="7" s="1"/>
  <c r="G85" i="21"/>
  <c r="F77" i="7" s="1"/>
  <c r="G84" i="21"/>
  <c r="F76" i="7" s="1"/>
  <c r="G83" i="21"/>
  <c r="F75" i="7" s="1"/>
  <c r="G82" i="21"/>
  <c r="F74" i="7" s="1"/>
  <c r="G81" i="21"/>
  <c r="F73" i="7" s="1"/>
  <c r="G80" i="21"/>
  <c r="F72" i="7" s="1"/>
  <c r="G79" i="21"/>
  <c r="F71" i="7" s="1"/>
  <c r="G78" i="21"/>
  <c r="F70" i="7" s="1"/>
  <c r="G77" i="21"/>
  <c r="F69" i="7" s="1"/>
  <c r="G76" i="21"/>
  <c r="F68" i="7" s="1"/>
  <c r="G75" i="21"/>
  <c r="F67" i="7" s="1"/>
  <c r="G74" i="21"/>
  <c r="F66" i="7" s="1"/>
  <c r="G73" i="21"/>
  <c r="F65" i="7" s="1"/>
  <c r="G72" i="21"/>
  <c r="F64" i="7" s="1"/>
  <c r="G71" i="21"/>
  <c r="F63" i="7" s="1"/>
  <c r="G70" i="21"/>
  <c r="F62" i="7" s="1"/>
  <c r="G69" i="21"/>
  <c r="F61" i="7" s="1"/>
  <c r="G68" i="21"/>
  <c r="F60" i="7" s="1"/>
  <c r="G67" i="21"/>
  <c r="F59" i="7" s="1"/>
  <c r="G66" i="21"/>
  <c r="F58" i="7" s="1"/>
  <c r="G65" i="21"/>
  <c r="F57" i="7" s="1"/>
  <c r="G64" i="21"/>
  <c r="F56" i="7" s="1"/>
  <c r="G63" i="21"/>
  <c r="F55" i="7" s="1"/>
  <c r="G61" i="21"/>
  <c r="F53" i="7" s="1"/>
  <c r="G60" i="21"/>
  <c r="F52" i="7" s="1"/>
  <c r="G59" i="21"/>
  <c r="F51" i="7" s="1"/>
  <c r="G58" i="21"/>
  <c r="F50" i="7" s="1"/>
  <c r="G57" i="21"/>
  <c r="F49" i="7" s="1"/>
  <c r="G56" i="21"/>
  <c r="F48" i="7" s="1"/>
  <c r="G55" i="21"/>
  <c r="F47" i="7" s="1"/>
  <c r="G54" i="21"/>
  <c r="F46" i="7" s="1"/>
  <c r="G53" i="21"/>
  <c r="F45" i="7" s="1"/>
  <c r="G52" i="21"/>
  <c r="F44" i="7" s="1"/>
  <c r="G51" i="21"/>
  <c r="F43" i="7" s="1"/>
  <c r="G50" i="21"/>
  <c r="F42" i="7" s="1"/>
  <c r="G49" i="21"/>
  <c r="F41" i="7" s="1"/>
  <c r="G48" i="21"/>
  <c r="F40" i="7" s="1"/>
  <c r="G47" i="21"/>
  <c r="F39" i="7" s="1"/>
  <c r="G46" i="21"/>
  <c r="F38" i="7" s="1"/>
  <c r="G45" i="21"/>
  <c r="F37" i="7" s="1"/>
  <c r="G44" i="21"/>
  <c r="F36" i="7" s="1"/>
  <c r="G42" i="21"/>
  <c r="F34" i="7" s="1"/>
  <c r="G41" i="21"/>
  <c r="F33" i="7" s="1"/>
  <c r="G40" i="21"/>
  <c r="F32" i="7" s="1"/>
  <c r="G38" i="21"/>
  <c r="F30" i="7" s="1"/>
  <c r="G36" i="21"/>
  <c r="F28" i="7" s="1"/>
  <c r="G35" i="21"/>
  <c r="F27" i="7" s="1"/>
  <c r="G34" i="21"/>
  <c r="F26" i="7" s="1"/>
  <c r="G33" i="21"/>
  <c r="F25" i="7" s="1"/>
  <c r="G32" i="21"/>
  <c r="F24" i="7" s="1"/>
  <c r="G31" i="21"/>
  <c r="F23" i="7" s="1"/>
  <c r="G30" i="21"/>
  <c r="F22" i="7" s="1"/>
  <c r="G29" i="21"/>
  <c r="F21" i="7" s="1"/>
  <c r="G28" i="21"/>
  <c r="F20" i="7" s="1"/>
  <c r="G27" i="21"/>
  <c r="F19" i="7" s="1"/>
  <c r="G26" i="21"/>
  <c r="F18" i="7" s="1"/>
  <c r="G25" i="21"/>
  <c r="F17" i="7" s="1"/>
  <c r="G24" i="21"/>
  <c r="F16" i="7" s="1"/>
  <c r="G23" i="21"/>
  <c r="F15" i="7" s="1"/>
  <c r="G22" i="21"/>
  <c r="F14" i="7" s="1"/>
  <c r="G21" i="21"/>
  <c r="F13" i="7" s="1"/>
  <c r="G20" i="21"/>
  <c r="F12" i="7" s="1"/>
  <c r="G17" i="21"/>
  <c r="F9" i="7" s="1"/>
  <c r="G16" i="21"/>
  <c r="F8" i="7" s="1"/>
  <c r="G15" i="21"/>
  <c r="F7" i="7" s="1"/>
  <c r="G13" i="21"/>
  <c r="F5" i="7" s="1"/>
  <c r="G12" i="21"/>
  <c r="AV196" i="21"/>
  <c r="AU196" i="21"/>
  <c r="AK196" i="21"/>
  <c r="AJ196" i="21"/>
  <c r="AI196" i="21"/>
  <c r="AM14" i="11"/>
  <c r="AL14" i="11"/>
  <c r="AK14" i="11"/>
  <c r="AJ14" i="11"/>
  <c r="AI14" i="11"/>
  <c r="G184" i="1"/>
  <c r="C176" i="7" s="1"/>
  <c r="G194" i="1"/>
  <c r="C186" i="7" s="1"/>
  <c r="G192" i="1"/>
  <c r="C184" i="7" s="1"/>
  <c r="G191" i="1"/>
  <c r="C183" i="7" s="1"/>
  <c r="G190" i="1"/>
  <c r="C182" i="7" s="1"/>
  <c r="G189" i="1"/>
  <c r="C181" i="7" s="1"/>
  <c r="G188" i="1"/>
  <c r="C180" i="7" s="1"/>
  <c r="G187" i="1"/>
  <c r="C179" i="7" s="1"/>
  <c r="G186" i="1"/>
  <c r="C178" i="7" s="1"/>
  <c r="G185" i="1"/>
  <c r="C177" i="7" s="1"/>
  <c r="G183" i="1"/>
  <c r="C175" i="7" s="1"/>
  <c r="G182" i="1"/>
  <c r="C174" i="7" s="1"/>
  <c r="G181" i="1"/>
  <c r="C173" i="7" s="1"/>
  <c r="G180" i="1"/>
  <c r="C172" i="7" s="1"/>
  <c r="G179" i="1"/>
  <c r="C171" i="7" s="1"/>
  <c r="G178" i="1"/>
  <c r="C170" i="7" s="1"/>
  <c r="G177" i="1"/>
  <c r="C169" i="7" s="1"/>
  <c r="G176" i="1"/>
  <c r="C168" i="7" s="1"/>
  <c r="G175" i="1"/>
  <c r="C167" i="7" s="1"/>
  <c r="G174" i="1"/>
  <c r="C166" i="7" s="1"/>
  <c r="G173" i="1"/>
  <c r="C165" i="7" s="1"/>
  <c r="G172" i="1"/>
  <c r="C164" i="7" s="1"/>
  <c r="G171" i="1"/>
  <c r="C163" i="7" s="1"/>
  <c r="G170" i="1"/>
  <c r="C162" i="7" s="1"/>
  <c r="G169" i="1"/>
  <c r="C161" i="7" s="1"/>
  <c r="G168" i="1"/>
  <c r="C160" i="7" s="1"/>
  <c r="G167" i="1"/>
  <c r="C159" i="7" s="1"/>
  <c r="G166" i="1"/>
  <c r="C158" i="7" s="1"/>
  <c r="G165" i="1"/>
  <c r="C157" i="7" s="1"/>
  <c r="G164" i="1"/>
  <c r="C156" i="7" s="1"/>
  <c r="G163" i="1"/>
  <c r="C155" i="7" s="1"/>
  <c r="G162" i="1"/>
  <c r="C154" i="7" s="1"/>
  <c r="G161" i="1"/>
  <c r="C153" i="7" s="1"/>
  <c r="G160" i="1"/>
  <c r="C152" i="7" s="1"/>
  <c r="G159" i="1"/>
  <c r="C151" i="7" s="1"/>
  <c r="G158" i="1"/>
  <c r="C150" i="7" s="1"/>
  <c r="G157" i="1"/>
  <c r="C149" i="7" s="1"/>
  <c r="G156" i="1"/>
  <c r="C148" i="7" s="1"/>
  <c r="G155" i="1"/>
  <c r="C147" i="7" s="1"/>
  <c r="G154" i="1"/>
  <c r="C146" i="7" s="1"/>
  <c r="G153" i="1"/>
  <c r="C145" i="7" s="1"/>
  <c r="G152" i="1"/>
  <c r="C144" i="7" s="1"/>
  <c r="G151" i="1"/>
  <c r="C143" i="7" s="1"/>
  <c r="G150" i="1"/>
  <c r="C142" i="7" s="1"/>
  <c r="G149" i="1"/>
  <c r="C141" i="7" s="1"/>
  <c r="G148" i="1"/>
  <c r="C140" i="7" s="1"/>
  <c r="G147" i="1"/>
  <c r="C139" i="7" s="1"/>
  <c r="G146" i="1"/>
  <c r="C138" i="7" s="1"/>
  <c r="G144" i="1"/>
  <c r="C136" i="7" s="1"/>
  <c r="G143" i="1"/>
  <c r="C135" i="7" s="1"/>
  <c r="G142" i="1"/>
  <c r="C134" i="7" s="1"/>
  <c r="G141" i="1"/>
  <c r="C133" i="7" s="1"/>
  <c r="G140" i="1"/>
  <c r="C132" i="7" s="1"/>
  <c r="G139" i="1"/>
  <c r="C131" i="7" s="1"/>
  <c r="G138" i="1"/>
  <c r="C130" i="7" s="1"/>
  <c r="G137" i="1"/>
  <c r="C129" i="7" s="1"/>
  <c r="G135" i="1"/>
  <c r="C127" i="7" s="1"/>
  <c r="G134" i="1"/>
  <c r="C126" i="7" s="1"/>
  <c r="G133" i="1"/>
  <c r="C125" i="7" s="1"/>
  <c r="G132" i="1"/>
  <c r="C124" i="7" s="1"/>
  <c r="G131" i="1"/>
  <c r="C123" i="7" s="1"/>
  <c r="G130" i="1"/>
  <c r="C122" i="7" s="1"/>
  <c r="G129" i="1"/>
  <c r="C121" i="7" s="1"/>
  <c r="G127" i="1"/>
  <c r="C119" i="7" s="1"/>
  <c r="G126" i="1"/>
  <c r="C118" i="7" s="1"/>
  <c r="G125" i="1"/>
  <c r="C117" i="7" s="1"/>
  <c r="G124" i="1"/>
  <c r="C116" i="7" s="1"/>
  <c r="G123" i="1"/>
  <c r="C115" i="7" s="1"/>
  <c r="G121" i="1"/>
  <c r="C113" i="7" s="1"/>
  <c r="G120" i="1"/>
  <c r="C112" i="7" s="1"/>
  <c r="G119" i="1"/>
  <c r="C111" i="7" s="1"/>
  <c r="G118" i="1"/>
  <c r="C110" i="7" s="1"/>
  <c r="G117" i="1"/>
  <c r="C109" i="7" s="1"/>
  <c r="G116" i="1"/>
  <c r="C108" i="7" s="1"/>
  <c r="G115" i="1"/>
  <c r="C107" i="7" s="1"/>
  <c r="G114" i="1"/>
  <c r="C106" i="7" s="1"/>
  <c r="G113" i="1"/>
  <c r="C105" i="7" s="1"/>
  <c r="G112" i="1"/>
  <c r="C104" i="7" s="1"/>
  <c r="G111" i="1"/>
  <c r="C103" i="7" s="1"/>
  <c r="G110" i="1"/>
  <c r="C102" i="7" s="1"/>
  <c r="G109" i="1"/>
  <c r="C101" i="7" s="1"/>
  <c r="G107" i="1"/>
  <c r="C99" i="7" s="1"/>
  <c r="G106" i="1"/>
  <c r="C98" i="7" s="1"/>
  <c r="G105" i="1"/>
  <c r="C97" i="7" s="1"/>
  <c r="G104" i="1"/>
  <c r="C96" i="7" s="1"/>
  <c r="G103" i="1"/>
  <c r="C95" i="7" s="1"/>
  <c r="G102" i="1"/>
  <c r="C94" i="7" s="1"/>
  <c r="G101" i="1"/>
  <c r="C93" i="7" s="1"/>
  <c r="G100" i="1"/>
  <c r="C92" i="7" s="1"/>
  <c r="G99" i="1"/>
  <c r="C91" i="7" s="1"/>
  <c r="G98" i="1"/>
  <c r="C90" i="7" s="1"/>
  <c r="G97" i="1"/>
  <c r="C89" i="7" s="1"/>
  <c r="G96" i="1"/>
  <c r="C88" i="7" s="1"/>
  <c r="G95" i="1"/>
  <c r="C87" i="7" s="1"/>
  <c r="G94" i="1"/>
  <c r="C86" i="7" s="1"/>
  <c r="G93" i="1"/>
  <c r="C85" i="7" s="1"/>
  <c r="G92" i="1"/>
  <c r="C84" i="7" s="1"/>
  <c r="G91" i="1"/>
  <c r="C83" i="7" s="1"/>
  <c r="G90" i="1"/>
  <c r="C82" i="7" s="1"/>
  <c r="G89" i="1"/>
  <c r="C81" i="7" s="1"/>
  <c r="G88" i="1"/>
  <c r="C80" i="7" s="1"/>
  <c r="G87" i="1"/>
  <c r="C79" i="7" s="1"/>
  <c r="G85" i="1"/>
  <c r="C77" i="7" s="1"/>
  <c r="G84" i="1"/>
  <c r="C76" i="7" s="1"/>
  <c r="G83" i="1"/>
  <c r="C75" i="7" s="1"/>
  <c r="G82" i="1"/>
  <c r="C74" i="7" s="1"/>
  <c r="G81" i="1"/>
  <c r="C73" i="7" s="1"/>
  <c r="G80" i="1"/>
  <c r="C72" i="7" s="1"/>
  <c r="G79" i="1"/>
  <c r="C71" i="7" s="1"/>
  <c r="G78" i="1"/>
  <c r="C70" i="7" s="1"/>
  <c r="G77" i="1"/>
  <c r="C69" i="7" s="1"/>
  <c r="G76" i="1"/>
  <c r="C68" i="7" s="1"/>
  <c r="G75" i="1"/>
  <c r="C67" i="7" s="1"/>
  <c r="G74" i="1"/>
  <c r="C66" i="7" s="1"/>
  <c r="G73" i="1"/>
  <c r="C65" i="7" s="1"/>
  <c r="G72" i="1"/>
  <c r="C64" i="7" s="1"/>
  <c r="G71" i="1"/>
  <c r="C63" i="7" s="1"/>
  <c r="G70" i="1"/>
  <c r="C62" i="7" s="1"/>
  <c r="G69" i="1"/>
  <c r="C61" i="7" s="1"/>
  <c r="G68" i="1"/>
  <c r="C60" i="7" s="1"/>
  <c r="G67" i="1"/>
  <c r="C59" i="7" s="1"/>
  <c r="G66" i="1"/>
  <c r="C58" i="7" s="1"/>
  <c r="G65" i="1"/>
  <c r="C57" i="7" s="1"/>
  <c r="G64" i="1"/>
  <c r="C56" i="7" s="1"/>
  <c r="G63" i="1"/>
  <c r="C55" i="7" s="1"/>
  <c r="G61" i="1"/>
  <c r="C53" i="7" s="1"/>
  <c r="G60" i="1"/>
  <c r="C52" i="7" s="1"/>
  <c r="G59" i="1"/>
  <c r="C51" i="7" s="1"/>
  <c r="G58" i="1"/>
  <c r="C50" i="7" s="1"/>
  <c r="G57" i="1"/>
  <c r="C49" i="7" s="1"/>
  <c r="G56" i="1"/>
  <c r="C48" i="7" s="1"/>
  <c r="G55" i="1"/>
  <c r="C47" i="7" s="1"/>
  <c r="G54" i="1"/>
  <c r="C46" i="7" s="1"/>
  <c r="G52" i="1"/>
  <c r="C44" i="7" s="1"/>
  <c r="G50" i="1"/>
  <c r="C42" i="7" s="1"/>
  <c r="G49" i="1"/>
  <c r="C41" i="7" s="1"/>
  <c r="G48" i="1"/>
  <c r="C40" i="7" s="1"/>
  <c r="G47" i="1"/>
  <c r="C39" i="7" s="1"/>
  <c r="G46" i="1"/>
  <c r="C38" i="7" s="1"/>
  <c r="G45" i="1"/>
  <c r="C37" i="7" s="1"/>
  <c r="G44" i="1"/>
  <c r="C36" i="7" s="1"/>
  <c r="G43" i="1"/>
  <c r="C35" i="7" s="1"/>
  <c r="G42" i="1"/>
  <c r="C34" i="7" s="1"/>
  <c r="G41" i="1"/>
  <c r="C33" i="7" s="1"/>
  <c r="G40" i="1"/>
  <c r="C32" i="7" s="1"/>
  <c r="G38" i="1"/>
  <c r="C30" i="7" s="1"/>
  <c r="G37" i="1"/>
  <c r="C29" i="7" s="1"/>
  <c r="G36" i="1"/>
  <c r="C28" i="7" s="1"/>
  <c r="G35" i="1"/>
  <c r="C27" i="7" s="1"/>
  <c r="G34" i="1"/>
  <c r="C26" i="7" s="1"/>
  <c r="G32" i="1"/>
  <c r="C24" i="7" s="1"/>
  <c r="G31" i="1"/>
  <c r="C23" i="7" s="1"/>
  <c r="G30" i="1"/>
  <c r="C22" i="7" s="1"/>
  <c r="G29" i="1"/>
  <c r="C21" i="7" s="1"/>
  <c r="G28" i="1"/>
  <c r="C20" i="7" s="1"/>
  <c r="G26" i="1"/>
  <c r="C18" i="7" s="1"/>
  <c r="G25" i="1"/>
  <c r="C17" i="7" s="1"/>
  <c r="G24" i="1"/>
  <c r="C16" i="7" s="1"/>
  <c r="G23" i="1"/>
  <c r="C15" i="7" s="1"/>
  <c r="G22" i="1"/>
  <c r="C14" i="7" s="1"/>
  <c r="G21" i="1"/>
  <c r="C13" i="7" s="1"/>
  <c r="G20" i="1"/>
  <c r="C12" i="7" s="1"/>
  <c r="G17" i="1"/>
  <c r="C9" i="7" s="1"/>
  <c r="G15" i="1"/>
  <c r="C7" i="7" s="1"/>
  <c r="G13" i="1"/>
  <c r="C5" i="7" s="1"/>
  <c r="G12" i="1"/>
  <c r="G23" i="10"/>
  <c r="D171" i="7" s="1"/>
  <c r="G22" i="10"/>
  <c r="D111" i="7" s="1"/>
  <c r="G21" i="10"/>
  <c r="D93" i="7" s="1"/>
  <c r="G19" i="10"/>
  <c r="G18" i="10"/>
  <c r="D67" i="7" s="1"/>
  <c r="G16" i="10"/>
  <c r="D56" i="7" s="1"/>
  <c r="G15" i="10"/>
  <c r="D53" i="7" s="1"/>
  <c r="G14" i="10"/>
  <c r="D43" i="7" s="1"/>
  <c r="G13" i="10"/>
  <c r="D18" i="7" s="1"/>
  <c r="G12" i="10"/>
  <c r="D11" i="7" s="1"/>
  <c r="AX25" i="10"/>
  <c r="AW25" i="10"/>
  <c r="AK25" i="10"/>
  <c r="AJ25" i="10"/>
  <c r="AI25" i="10"/>
  <c r="AV196" i="1"/>
  <c r="AU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R196" i="1"/>
  <c r="Q196" i="1"/>
  <c r="P196" i="1"/>
  <c r="O196" i="1"/>
  <c r="K196" i="1"/>
  <c r="J196" i="1"/>
  <c r="I196" i="1"/>
  <c r="G65" i="22" l="1"/>
  <c r="G57" i="7" s="1"/>
  <c r="G67" i="7"/>
  <c r="G75" i="22"/>
  <c r="G176" i="7"/>
  <c r="G102" i="24"/>
  <c r="I94" i="7" s="1"/>
  <c r="G53" i="22"/>
  <c r="G45" i="7" s="1"/>
  <c r="G156" i="22"/>
  <c r="G148" i="7" s="1"/>
  <c r="G125" i="22"/>
  <c r="G117" i="7" s="1"/>
  <c r="G23" i="18"/>
  <c r="J79" i="7" s="1"/>
  <c r="N19" i="21"/>
  <c r="N14" i="21"/>
  <c r="N51" i="1"/>
  <c r="G51" i="1" s="1"/>
  <c r="C43" i="7" s="1"/>
  <c r="N27" i="1"/>
  <c r="G27" i="1" s="1"/>
  <c r="C19" i="7" s="1"/>
  <c r="N19" i="1"/>
  <c r="G19" i="1" s="1"/>
  <c r="C11" i="7" s="1"/>
  <c r="N14" i="1"/>
  <c r="N19" i="24"/>
  <c r="N12" i="18"/>
  <c r="F14" i="21" l="1"/>
  <c r="G14" i="21" s="1"/>
  <c r="F6" i="7" s="1"/>
  <c r="F19" i="21"/>
  <c r="G19" i="21" s="1"/>
  <c r="F11" i="7" s="1"/>
  <c r="G19" i="24"/>
  <c r="I11" i="7" s="1"/>
  <c r="N196" i="24"/>
  <c r="N198" i="22"/>
  <c r="N40" i="18"/>
  <c r="N196" i="1"/>
  <c r="G14" i="1"/>
  <c r="C6" i="7" s="1"/>
  <c r="M128" i="22"/>
  <c r="G13" i="22" l="1"/>
  <c r="G5" i="7" s="1"/>
  <c r="F40" i="18"/>
  <c r="G12" i="18"/>
  <c r="J11" i="7" s="1"/>
  <c r="L37" i="22"/>
  <c r="G40" i="18" l="1"/>
  <c r="R45" i="18"/>
  <c r="M62" i="24"/>
  <c r="M122" i="22"/>
  <c r="M145" i="21"/>
  <c r="M136" i="21"/>
  <c r="M122" i="21"/>
  <c r="M62" i="21"/>
  <c r="M43" i="21"/>
  <c r="M18" i="21"/>
  <c r="M18" i="1"/>
  <c r="M136" i="1"/>
  <c r="G136" i="1" s="1"/>
  <c r="C128" i="7" s="1"/>
  <c r="M86" i="1"/>
  <c r="G86" i="1" s="1"/>
  <c r="C78" i="7" s="1"/>
  <c r="M145" i="1"/>
  <c r="G145" i="1" s="1"/>
  <c r="C137" i="7" s="1"/>
  <c r="M122" i="1"/>
  <c r="G122" i="1" s="1"/>
  <c r="C114" i="7" s="1"/>
  <c r="M62" i="1"/>
  <c r="G62" i="1" s="1"/>
  <c r="C54" i="7" s="1"/>
  <c r="G62" i="24" l="1"/>
  <c r="I54" i="7" s="1"/>
  <c r="F18" i="21"/>
  <c r="G18" i="21" s="1"/>
  <c r="F10" i="7" s="1"/>
  <c r="F136" i="21"/>
  <c r="G136" i="21" s="1"/>
  <c r="F128" i="7" s="1"/>
  <c r="F43" i="21"/>
  <c r="G43" i="21" s="1"/>
  <c r="F35" i="7" s="1"/>
  <c r="F145" i="21"/>
  <c r="G145" i="21" s="1"/>
  <c r="F137" i="7" s="1"/>
  <c r="F122" i="21"/>
  <c r="G122" i="21" s="1"/>
  <c r="F114" i="7" s="1"/>
  <c r="F62" i="21"/>
  <c r="G62" i="21" s="1"/>
  <c r="F54" i="7" s="1"/>
  <c r="G18" i="1"/>
  <c r="C10" i="7" s="1"/>
  <c r="M196" i="1"/>
  <c r="G37" i="22"/>
  <c r="G29" i="7" s="1"/>
  <c r="G122" i="22"/>
  <c r="G114" i="7" s="1"/>
  <c r="M198" i="22"/>
  <c r="L43" i="24"/>
  <c r="L53" i="1"/>
  <c r="G53" i="1" s="1"/>
  <c r="C45" i="7" s="1"/>
  <c r="G43" i="24" l="1"/>
  <c r="I35" i="7" s="1"/>
  <c r="E25" i="10"/>
  <c r="E50" i="4" l="1"/>
  <c r="E14" i="11"/>
  <c r="L108" i="24" l="1"/>
  <c r="L194" i="24"/>
  <c r="H196" i="24"/>
  <c r="I196" i="24"/>
  <c r="J196" i="24"/>
  <c r="K196" i="24"/>
  <c r="M196" i="24"/>
  <c r="M203" i="24" s="1"/>
  <c r="N199" i="24"/>
  <c r="O196" i="24"/>
  <c r="P196" i="24"/>
  <c r="Q196" i="24"/>
  <c r="R196" i="24"/>
  <c r="T196" i="24"/>
  <c r="U196" i="24"/>
  <c r="V196" i="24"/>
  <c r="W196" i="24"/>
  <c r="X196" i="24"/>
  <c r="Y196" i="24"/>
  <c r="Z196" i="24"/>
  <c r="AA196" i="24"/>
  <c r="AB196" i="24"/>
  <c r="AC196" i="24"/>
  <c r="AD196" i="24"/>
  <c r="AE196" i="24"/>
  <c r="AF196" i="24"/>
  <c r="AG196" i="24"/>
  <c r="AH196" i="24"/>
  <c r="C196" i="24"/>
  <c r="L128" i="22"/>
  <c r="M201" i="22"/>
  <c r="G194" i="24" l="1"/>
  <c r="I186" i="7" s="1"/>
  <c r="G108" i="24"/>
  <c r="F196" i="24"/>
  <c r="L198" i="22"/>
  <c r="L196" i="24"/>
  <c r="L39" i="21"/>
  <c r="L37" i="21"/>
  <c r="F39" i="21" l="1"/>
  <c r="G39" i="21" s="1"/>
  <c r="F31" i="7" s="1"/>
  <c r="F37" i="21"/>
  <c r="G37" i="21" s="1"/>
  <c r="F29" i="7" s="1"/>
  <c r="I100" i="7"/>
  <c r="G196" i="24"/>
  <c r="G128" i="22"/>
  <c r="G120" i="7" s="1"/>
  <c r="F198" i="22"/>
  <c r="L128" i="21"/>
  <c r="L153" i="21"/>
  <c r="F153" i="21" l="1"/>
  <c r="G153" i="21" s="1"/>
  <c r="F145" i="7" s="1"/>
  <c r="F128" i="21"/>
  <c r="G128" i="21" s="1"/>
  <c r="F120" i="7" s="1"/>
  <c r="L128" i="1"/>
  <c r="G128" i="1" s="1"/>
  <c r="C120" i="7" s="1"/>
  <c r="L108" i="1"/>
  <c r="G108" i="1" s="1"/>
  <c r="C100" i="7" s="1"/>
  <c r="L39" i="1"/>
  <c r="G39" i="1" l="1"/>
  <c r="C31" i="7" s="1"/>
  <c r="L196" i="1"/>
  <c r="I4" i="7"/>
  <c r="AF2" i="24"/>
  <c r="AB2" i="24"/>
  <c r="V2" i="24"/>
  <c r="P2" i="24"/>
  <c r="J2" i="24"/>
  <c r="AF1" i="24"/>
  <c r="AB1" i="24"/>
  <c r="V1" i="24"/>
  <c r="P1" i="24"/>
  <c r="J1" i="24"/>
  <c r="I194" i="7" l="1"/>
  <c r="E190" i="22"/>
  <c r="C4" i="22"/>
  <c r="AB2" i="22" s="1"/>
  <c r="AG1" i="22"/>
  <c r="AB1" i="22"/>
  <c r="V1" i="22"/>
  <c r="P1" i="22"/>
  <c r="J1" i="22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T196" i="21"/>
  <c r="S196" i="21"/>
  <c r="R196" i="21"/>
  <c r="P196" i="21"/>
  <c r="O196" i="21"/>
  <c r="N196" i="21"/>
  <c r="M196" i="21"/>
  <c r="L196" i="21"/>
  <c r="K196" i="21"/>
  <c r="J196" i="21"/>
  <c r="I196" i="21"/>
  <c r="H196" i="21"/>
  <c r="E196" i="21"/>
  <c r="C196" i="21"/>
  <c r="C4" i="21"/>
  <c r="AG2" i="21" s="1"/>
  <c r="AG1" i="21"/>
  <c r="AB1" i="21"/>
  <c r="V1" i="21"/>
  <c r="P1" i="21"/>
  <c r="J1" i="21"/>
  <c r="G190" i="22" l="1"/>
  <c r="E198" i="22"/>
  <c r="AG2" i="22"/>
  <c r="J2" i="22"/>
  <c r="P2" i="21"/>
  <c r="P2" i="22"/>
  <c r="V2" i="22"/>
  <c r="G4" i="7"/>
  <c r="F196" i="21"/>
  <c r="V2" i="21"/>
  <c r="AB2" i="21"/>
  <c r="J2" i="21"/>
  <c r="G198" i="22" l="1"/>
  <c r="G182" i="7"/>
  <c r="G196" i="21"/>
  <c r="F4" i="7"/>
  <c r="G194" i="7" l="1"/>
  <c r="E196" i="1" l="1"/>
  <c r="H50" i="4" l="1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C50" i="4"/>
  <c r="H43" i="7"/>
  <c r="H53" i="7"/>
  <c r="H56" i="7"/>
  <c r="H57" i="7"/>
  <c r="H59" i="7"/>
  <c r="H63" i="7"/>
  <c r="H64" i="7"/>
  <c r="H70" i="7"/>
  <c r="H71" i="7"/>
  <c r="H72" i="7"/>
  <c r="H75" i="7"/>
  <c r="H81" i="7"/>
  <c r="H92" i="7"/>
  <c r="H94" i="7"/>
  <c r="H95" i="7"/>
  <c r="H109" i="7"/>
  <c r="H117" i="7"/>
  <c r="H120" i="7"/>
  <c r="H140" i="7"/>
  <c r="H147" i="7"/>
  <c r="H148" i="7"/>
  <c r="H149" i="7"/>
  <c r="H154" i="7"/>
  <c r="H158" i="7"/>
  <c r="H174" i="7"/>
  <c r="H177" i="7"/>
  <c r="H179" i="7"/>
  <c r="H185" i="7"/>
  <c r="H186" i="7"/>
  <c r="H190" i="7"/>
  <c r="F12" i="11" l="1"/>
  <c r="G12" i="11" s="1"/>
  <c r="E192" i="7" s="1"/>
  <c r="E194" i="7" s="1"/>
  <c r="C14" i="11" l="1"/>
  <c r="G14" i="11"/>
  <c r="F14" i="11"/>
  <c r="C196" i="1"/>
  <c r="H14" i="11" l="1"/>
  <c r="I14" i="11"/>
  <c r="J14" i="11"/>
  <c r="K14" i="11"/>
  <c r="L14" i="11"/>
  <c r="M14" i="11"/>
  <c r="N14" i="11"/>
  <c r="O14" i="11"/>
  <c r="P14" i="11"/>
  <c r="Q14" i="11"/>
  <c r="R14" i="11"/>
  <c r="F25" i="10"/>
  <c r="G25" i="10"/>
  <c r="C25" i="10"/>
  <c r="C4" i="7" l="1"/>
  <c r="O25" i="10"/>
  <c r="AF2" i="18" l="1"/>
  <c r="AB2" i="18"/>
  <c r="V2" i="18"/>
  <c r="P2" i="18"/>
  <c r="J2" i="18"/>
  <c r="AF1" i="18"/>
  <c r="AB1" i="18"/>
  <c r="V1" i="18"/>
  <c r="P1" i="18"/>
  <c r="J1" i="18"/>
  <c r="J194" i="7" l="1"/>
  <c r="H6" i="7" l="1"/>
  <c r="H15" i="7"/>
  <c r="H18" i="7"/>
  <c r="H19" i="7"/>
  <c r="H21" i="7"/>
  <c r="H24" i="7"/>
  <c r="F50" i="4" l="1"/>
  <c r="AG2" i="4"/>
  <c r="AG1" i="4"/>
  <c r="AB2" i="4"/>
  <c r="AB1" i="4"/>
  <c r="V2" i="4"/>
  <c r="V1" i="4"/>
  <c r="P2" i="4"/>
  <c r="P1" i="4"/>
  <c r="J2" i="4"/>
  <c r="J1" i="4"/>
  <c r="AF1" i="11"/>
  <c r="Z1" i="11"/>
  <c r="R1" i="11"/>
  <c r="J1" i="11"/>
  <c r="AE1" i="10"/>
  <c r="X1" i="10"/>
  <c r="Q1" i="10"/>
  <c r="J1" i="10"/>
  <c r="AF2" i="1"/>
  <c r="AF1" i="1"/>
  <c r="AB2" i="1"/>
  <c r="AB1" i="1"/>
  <c r="V2" i="1"/>
  <c r="V1" i="1"/>
  <c r="P2" i="1"/>
  <c r="P1" i="1"/>
  <c r="J2" i="1"/>
  <c r="J1" i="1"/>
  <c r="H5" i="7" l="1"/>
  <c r="H194" i="7" s="1"/>
  <c r="G50" i="4"/>
  <c r="D188" i="7"/>
  <c r="D189" i="7"/>
  <c r="D190" i="7"/>
  <c r="D182" i="7"/>
  <c r="D187" i="7"/>
  <c r="C4" i="11"/>
  <c r="C4" i="10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D172" i="7"/>
  <c r="D173" i="7"/>
  <c r="D174" i="7"/>
  <c r="D175" i="7"/>
  <c r="D176" i="7"/>
  <c r="D177" i="7"/>
  <c r="D178" i="7"/>
  <c r="D179" i="7"/>
  <c r="D180" i="7"/>
  <c r="D181" i="7"/>
  <c r="D183" i="7"/>
  <c r="D184" i="7"/>
  <c r="D185" i="7"/>
  <c r="D186" i="7"/>
  <c r="D191" i="7"/>
  <c r="H25" i="10"/>
  <c r="I25" i="10"/>
  <c r="J25" i="10"/>
  <c r="K25" i="10"/>
  <c r="L25" i="10"/>
  <c r="M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N25" i="10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2" i="7"/>
  <c r="D91" i="7"/>
  <c r="D89" i="7"/>
  <c r="D88" i="7"/>
  <c r="D87" i="7"/>
  <c r="D86" i="7"/>
  <c r="D85" i="7"/>
  <c r="D84" i="7"/>
  <c r="D83" i="7"/>
  <c r="D82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6" i="7"/>
  <c r="D65" i="7"/>
  <c r="D64" i="7"/>
  <c r="D63" i="7"/>
  <c r="D62" i="7"/>
  <c r="D61" i="7"/>
  <c r="D60" i="7"/>
  <c r="D59" i="7"/>
  <c r="D58" i="7"/>
  <c r="D55" i="7"/>
  <c r="D54" i="7"/>
  <c r="D52" i="7"/>
  <c r="D51" i="7"/>
  <c r="D50" i="7"/>
  <c r="D49" i="7"/>
  <c r="D48" i="7"/>
  <c r="D47" i="7"/>
  <c r="D46" i="7"/>
  <c r="D45" i="7"/>
  <c r="D44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7" i="7"/>
  <c r="D16" i="7"/>
  <c r="D15" i="7"/>
  <c r="D14" i="7"/>
  <c r="D13" i="7"/>
  <c r="D10" i="7"/>
  <c r="D9" i="7"/>
  <c r="D8" i="7"/>
  <c r="D7" i="7"/>
  <c r="D6" i="7"/>
  <c r="D5" i="7"/>
  <c r="D12" i="7" l="1"/>
  <c r="D140" i="7"/>
  <c r="D81" i="7"/>
  <c r="AF2" i="11"/>
  <c r="Z2" i="11"/>
  <c r="R2" i="11"/>
  <c r="J2" i="11"/>
  <c r="AE2" i="10"/>
  <c r="Q2" i="10"/>
  <c r="X2" i="10"/>
  <c r="J2" i="10"/>
  <c r="F194" i="7" l="1"/>
  <c r="D194" i="7"/>
  <c r="H196" i="1" l="1"/>
  <c r="F196" i="1"/>
  <c r="G193" i="1" l="1"/>
  <c r="C185" i="7" l="1"/>
  <c r="C194" i="7" s="1"/>
  <c r="G1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</authors>
  <commentList>
    <comment ref="O14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Return of funds $4148.00 1/25/19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E15" authorId="0" shapeId="0" xr:uid="{A7A13ECD-5382-402A-A18D-45BEED9C5F3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Signed over remaining balances to Cheyenne Mountain due to facility closing and students transferring to new district</t>
        </r>
      </text>
    </comment>
    <comment ref="E17" authorId="0" shapeId="0" xr:uid="{8262EFEA-4EC7-42F5-AC3D-1AF7B5D0E86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Harrison signed over FY20-21 allocation and remaining carryover balances due to facility closing and students transferring to Cheyenne Mountain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Kaleda, Steven</author>
  </authors>
  <commentList>
    <comment ref="L5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Moved $171,654 from FY1516 to accommodate request from correct FY.</t>
        </r>
      </text>
    </comment>
    <comment ref="U7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Returned Payment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Shields, Joseph</author>
    <author>Kaleda, Steven</author>
    <author>Mueller, Pam</author>
  </authors>
  <commentList>
    <comment ref="T8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14,119
FY1617 = 1,773
FY1718 = 12,346</t>
        </r>
      </text>
    </comment>
    <comment ref="G122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Carried over into FY19-20 and signed over to Centennial BOCES</t>
        </r>
      </text>
    </comment>
    <comment ref="E125" authorId="1" shapeId="0" xr:uid="{12F1093C-E406-4572-9E91-7C19870CCA9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Reduced Signover by $5,533 for carryover to FY19-20 for Archuleta.  Consortium ended.  Amount verified Linda Weyers via email
</t>
        </r>
      </text>
    </comment>
    <comment ref="AC125" authorId="1" shapeId="0" xr:uid="{0E8107CE-ACE0-4981-8B98-47909BE27A24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Reduced payout by $5,533.  Moved to FY19-20 Payment to close out FY18-19 funds</t>
        </r>
      </text>
    </comment>
    <comment ref="G192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Kaleda, Steven
Carried over by #2035 Montezuma-Cortez and signed over in FY19-20</t>
        </r>
      </text>
    </comment>
    <comment ref="E198" authorId="2" shapeId="0" xr:uid="{00000000-0006-0000-0500-000004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difference with total Allocations is the amount of  declines $43,886</t>
        </r>
      </text>
    </comment>
  </commentList>
</comments>
</file>

<file path=xl/sharedStrings.xml><?xml version="1.0" encoding="utf-8"?>
<sst xmlns="http://schemas.openxmlformats.org/spreadsheetml/2006/main" count="3231" uniqueCount="677">
  <si>
    <t>Grant:</t>
  </si>
  <si>
    <t>CFDA #</t>
  </si>
  <si>
    <t>FISCAL YEAR:</t>
  </si>
  <si>
    <t>GRANT NUMBER: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</si>
  <si>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</si>
  <si>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</si>
  <si>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</si>
  <si>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</si>
  <si>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</si>
  <si>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</si>
  <si>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</si>
  <si>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</si>
  <si>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</si>
  <si>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</si>
  <si>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</si>
  <si>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</si>
  <si>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</si>
  <si>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</si>
  <si>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</si>
  <si>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</si>
  <si>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</si>
  <si>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</si>
  <si>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</si>
  <si>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</si>
  <si>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</si>
  <si>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</si>
  <si>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</si>
  <si>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</si>
  <si>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</si>
  <si>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</si>
  <si>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</si>
  <si>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</si>
  <si>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</si>
  <si>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</si>
  <si>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</si>
  <si>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</si>
  <si>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</si>
  <si>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</si>
  <si>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</si>
  <si>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</si>
  <si>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</si>
  <si>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</si>
  <si>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</si>
  <si>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</si>
  <si>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</si>
  <si>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</si>
  <si>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</si>
  <si>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</si>
  <si>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</si>
  <si>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</si>
  <si>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</si>
  <si>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</si>
  <si>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</si>
  <si>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</si>
  <si>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</si>
  <si>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</si>
  <si>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</si>
  <si>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</si>
  <si>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</si>
  <si>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</si>
  <si>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</si>
  <si>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</si>
  <si>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</si>
  <si>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</si>
  <si>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</si>
  <si>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</si>
  <si>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</si>
  <si>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</si>
  <si>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</si>
  <si>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</si>
  <si>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</si>
  <si>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</si>
  <si>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</si>
  <si>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</si>
  <si>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</si>
  <si>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</si>
  <si>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</si>
  <si>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</si>
  <si>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</si>
  <si>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</si>
  <si>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</si>
  <si>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</si>
  <si>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</si>
  <si>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</si>
  <si>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</si>
  <si>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</si>
  <si>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</si>
  <si>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</si>
  <si>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</si>
  <si>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</si>
  <si>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</si>
  <si>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</si>
  <si>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</si>
  <si>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</si>
  <si>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</si>
  <si>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</si>
  <si>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</si>
  <si>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</si>
  <si>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</si>
  <si>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</si>
  <si>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</si>
  <si>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</si>
  <si>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</si>
  <si>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</si>
  <si>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</si>
  <si>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</si>
  <si>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</si>
  <si>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</si>
  <si>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</si>
  <si>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</si>
  <si>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</si>
  <si>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</si>
  <si>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</si>
  <si>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</si>
  <si>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</si>
  <si>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</si>
  <si>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</si>
  <si>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</si>
  <si>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</si>
  <si>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</si>
  <si>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</si>
  <si>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</si>
  <si>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</si>
  <si>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</si>
  <si>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</si>
  <si>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</si>
  <si>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</si>
  <si>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</si>
  <si>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</si>
  <si>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</si>
  <si>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</si>
  <si>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</si>
  <si>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</si>
  <si>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</si>
  <si>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</si>
  <si>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</si>
  <si>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</si>
  <si>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</si>
  <si>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</si>
  <si>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</si>
  <si>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</si>
  <si>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</si>
  <si>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</si>
  <si>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</si>
  <si>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</si>
  <si>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</si>
  <si>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</si>
  <si>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</si>
  <si>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</si>
  <si>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</si>
  <si>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</si>
  <si>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</si>
  <si>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</si>
  <si>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</si>
  <si>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</si>
  <si>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</si>
  <si>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</si>
  <si>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</si>
  <si>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</si>
  <si>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</si>
  <si>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</si>
  <si>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</si>
  <si>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</si>
  <si>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</si>
  <si>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</si>
  <si>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</si>
  <si>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</si>
  <si>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</si>
  <si>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</si>
  <si>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</si>
  <si>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</si>
  <si>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</si>
  <si>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</si>
  <si>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</si>
  <si>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</si>
  <si>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</si>
  <si>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</si>
  <si>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</si>
  <si>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</si>
  <si>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</si>
  <si>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</si>
  <si>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</si>
  <si>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</si>
  <si>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</si>
  <si>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</si>
  <si>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</si>
  <si>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</si>
  <si>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</si>
  <si>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</si>
  <si>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</si>
  <si>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</si>
  <si>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</si>
  <si>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</si>
  <si>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</si>
  <si>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</si>
  <si>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</si>
  <si>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</si>
  <si>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</si>
  <si>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</si>
  <si>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</si>
  <si>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</si>
  <si>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</si>
  <si>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</si>
  <si>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</si>
  <si>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</si>
  <si>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</si>
  <si>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</si>
  <si>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</si>
  <si>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</si>
  <si>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</si>
  <si>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</si>
  <si>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</si>
  <si>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</si>
  <si>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</si>
  <si>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</si>
  <si>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</si>
  <si>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</si>
  <si>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</si>
  <si>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</si>
  <si>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</si>
  <si>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</si>
  <si>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</si>
  <si>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</si>
  <si>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</si>
  <si>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</si>
  <si>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</si>
  <si>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</si>
  <si>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</si>
  <si>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</si>
  <si>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</si>
  <si>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</si>
  <si>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</si>
  <si>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</si>
  <si>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</si>
  <si>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</si>
  <si>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</si>
  <si>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</si>
  <si>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</si>
  <si>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</si>
  <si>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</si>
  <si>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</si>
  <si>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</si>
  <si>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</si>
  <si>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</si>
  <si>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</si>
  <si>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</si>
  <si>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</si>
  <si>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</si>
  <si>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</si>
  <si>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</si>
  <si>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</si>
  <si>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</si>
  <si>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</si>
  <si>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</si>
  <si>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</si>
  <si>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</si>
  <si>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</si>
  <si>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</si>
  <si>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</si>
  <si>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</si>
  <si>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</si>
  <si>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</si>
  <si>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</si>
  <si>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</si>
  <si>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</si>
  <si>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</si>
  <si>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</si>
  <si>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</si>
  <si>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</si>
  <si>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</si>
  <si>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</si>
  <si>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</si>
  <si>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</si>
  <si>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</si>
  <si>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</si>
  <si>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</si>
  <si>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</si>
  <si>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</si>
  <si>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</si>
  <si>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</si>
  <si>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</si>
  <si>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</si>
  <si>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</si>
  <si>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</si>
  <si>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</si>
  <si>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</si>
  <si>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</si>
  <si>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</si>
  <si>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</si>
  <si>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</si>
  <si>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</si>
  <si>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</si>
  <si>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</si>
  <si>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</si>
  <si>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</si>
  <si>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</si>
  <si>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</si>
  <si>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</si>
  <si>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</si>
  <si>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</si>
  <si>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</si>
  <si>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</si>
  <si>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</si>
  <si>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</si>
  <si>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</si>
  <si>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</si>
  <si>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</si>
  <si>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</si>
  <si>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</si>
  <si>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</si>
  <si>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</si>
  <si>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</si>
  <si>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</si>
  <si>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</si>
  <si>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</si>
  <si>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</si>
  <si>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</si>
  <si>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</si>
  <si>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</si>
  <si>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</si>
  <si>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</si>
  <si>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</si>
  <si>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</si>
  <si>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</si>
  <si>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</si>
  <si>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</si>
  <si>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</si>
  <si>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</si>
  <si>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</si>
  <si>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</si>
  <si>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</si>
  <si>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</si>
  <si>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</si>
  <si>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</si>
  <si>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</si>
  <si>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</si>
  <si>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</si>
  <si>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</si>
  <si>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</si>
  <si>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</si>
  <si>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</si>
  <si>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</si>
  <si>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</si>
  <si>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</si>
  <si>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</si>
  <si>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</si>
  <si>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</si>
  <si>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</si>
  <si>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</si>
  <si>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</si>
  <si>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</si>
  <si>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</si>
  <si>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</si>
  <si>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</si>
  <si>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</si>
  <si>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</si>
  <si>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</si>
  <si>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</si>
  <si>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</si>
  <si>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</si>
  <si>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</si>
  <si>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</si>
  <si>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</si>
  <si>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</si>
  <si>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</si>
  <si>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</si>
  <si>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</si>
  <si>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</si>
  <si>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</si>
  <si>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</si>
  <si>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</si>
  <si>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</si>
  <si>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</si>
  <si>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</si>
  <si>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</si>
  <si>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</si>
  <si>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</si>
  <si>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</si>
  <si>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</si>
  <si>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</si>
  <si>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</si>
  <si>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</si>
  <si>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>Title I-D Delinquent</t>
  </si>
  <si>
    <t xml:space="preserve">7010 for LEA   </t>
  </si>
  <si>
    <t xml:space="preserve"> 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</si>
  <si>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</si>
  <si>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</si>
  <si>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</si>
  <si>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</si>
  <si>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</si>
  <si>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</si>
  <si>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III-SAI</t>
  </si>
  <si>
    <t>Title VI</t>
  </si>
  <si>
    <t>San Juan BOCES</t>
  </si>
  <si>
    <t>San Luis Valley BOCES</t>
  </si>
  <si>
    <t>South Central BOCES</t>
  </si>
  <si>
    <t>Southeastern BOCES</t>
  </si>
  <si>
    <t>Questions regarding payments:</t>
  </si>
  <si>
    <t>GRANT PERIOD:</t>
  </si>
  <si>
    <t>District Name</t>
  </si>
  <si>
    <t>84.031A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</si>
  <si>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</si>
  <si>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</si>
  <si>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</si>
  <si>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</si>
  <si>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</si>
  <si>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</si>
  <si>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</si>
  <si>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</si>
  <si>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</si>
  <si>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</si>
  <si>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</si>
  <si>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</si>
  <si>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</si>
  <si>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</si>
  <si>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</si>
  <si>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</si>
  <si>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</si>
  <si>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</si>
  <si>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</si>
  <si>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</si>
  <si>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</si>
  <si>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</si>
  <si>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</si>
  <si>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</si>
  <si>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</si>
  <si>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</si>
  <si>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</si>
  <si>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</si>
  <si>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</si>
  <si>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</si>
  <si>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</si>
  <si>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</si>
  <si>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</si>
  <si>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</si>
  <si>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</si>
  <si>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</si>
  <si>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</si>
  <si>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</si>
  <si>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</si>
  <si>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</si>
  <si>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</si>
  <si>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</si>
  <si>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</si>
  <si>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</si>
  <si>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</si>
  <si>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</si>
  <si>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</si>
  <si>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</si>
  <si>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</si>
  <si>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</si>
  <si>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</si>
  <si>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</si>
  <si>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</si>
  <si>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</si>
  <si>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</si>
  <si>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</si>
  <si>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</si>
  <si>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</si>
  <si>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</si>
  <si>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</si>
  <si>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</si>
  <si>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</si>
  <si>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</si>
  <si>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</si>
  <si>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</si>
  <si>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</si>
  <si>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</si>
  <si>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</si>
  <si>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</si>
  <si>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</si>
  <si>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</si>
  <si>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</si>
  <si>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</si>
  <si>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</si>
  <si>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</si>
  <si>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</si>
  <si>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</si>
  <si>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</si>
  <si>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</si>
  <si>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</si>
  <si>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</si>
  <si>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</si>
  <si>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</si>
  <si>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</si>
  <si>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</si>
  <si>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</si>
  <si>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</si>
  <si>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</si>
  <si>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</si>
  <si>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</si>
  <si>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</si>
  <si>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</si>
  <si>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</si>
  <si>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</si>
  <si>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</si>
  <si>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</si>
  <si>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</si>
  <si>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</si>
  <si>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</si>
  <si>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</si>
  <si>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</si>
  <si>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</si>
  <si>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</si>
  <si>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</si>
  <si>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</si>
  <si>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</si>
  <si>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</si>
  <si>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</si>
  <si>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</si>
  <si>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</si>
  <si>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</si>
  <si>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</si>
  <si>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</si>
  <si>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</si>
  <si>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</si>
  <si>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</si>
  <si>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</si>
  <si>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</si>
  <si>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</si>
  <si>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</si>
  <si>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</si>
  <si>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</si>
  <si>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</si>
  <si>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</si>
  <si>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</si>
  <si>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</si>
  <si>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</si>
  <si>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</si>
  <si>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</si>
  <si>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</si>
  <si>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</si>
  <si>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</si>
  <si>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</si>
  <si>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</si>
  <si>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</si>
  <si>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</si>
  <si>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</si>
  <si>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</si>
  <si>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</si>
  <si>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</si>
  <si>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</si>
  <si>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</si>
  <si>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</si>
  <si>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</si>
  <si>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</si>
  <si>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</si>
  <si>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</si>
  <si>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</si>
  <si>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</si>
  <si>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</si>
  <si>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</si>
  <si>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</si>
  <si>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</si>
  <si>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</si>
  <si>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</si>
  <si>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</si>
  <si>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</si>
  <si>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</si>
  <si>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</si>
  <si>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</si>
  <si>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</si>
  <si>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</si>
  <si>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</si>
  <si>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</si>
  <si>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</si>
  <si>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</si>
  <si>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</si>
  <si>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</si>
  <si>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</si>
  <si>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</si>
  <si>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</si>
  <si>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</si>
  <si>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</si>
  <si>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</si>
  <si>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</si>
  <si>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</si>
  <si>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</si>
  <si>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</si>
  <si>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</si>
  <si>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</si>
  <si>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</si>
  <si>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>July
2018</t>
  </si>
  <si>
    <t>August
2018</t>
  </si>
  <si>
    <t>September
2018</t>
  </si>
  <si>
    <t>70XA-7000</t>
  </si>
  <si>
    <t>October
2018</t>
  </si>
  <si>
    <t>November
2018</t>
  </si>
  <si>
    <t>December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</si>
  <si>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</si>
  <si>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</si>
  <si>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</si>
  <si>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</si>
  <si>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</si>
  <si>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</si>
  <si>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</si>
  <si>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</si>
  <si>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</si>
  <si>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Title IV Formula</t>
  </si>
  <si>
    <t>Title V-B Formula</t>
  </si>
  <si>
    <t>84.358</t>
  </si>
  <si>
    <t>70XB-7000</t>
  </si>
  <si>
    <t>72XD-7000</t>
  </si>
  <si>
    <t>78XA/7000</t>
  </si>
  <si>
    <t>31XF-7000</t>
  </si>
  <si>
    <t>31XG/7000</t>
  </si>
  <si>
    <t>46XD-7000</t>
  </si>
  <si>
    <t>35XC</t>
  </si>
  <si>
    <t>October
2019</t>
  </si>
  <si>
    <t>November
2019</t>
  </si>
  <si>
    <t>December
2019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</si>
  <si>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</si>
  <si>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</si>
  <si>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</si>
  <si>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</si>
  <si>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</si>
  <si>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</si>
  <si>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</si>
  <si>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</si>
  <si>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</si>
  <si>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2018-2019</t>
  </si>
  <si>
    <t>Westminster Public Schools</t>
  </si>
  <si>
    <t>Dolores County RE NO.2</t>
  </si>
  <si>
    <t>Miami/yoder 60 JT</t>
  </si>
  <si>
    <t>Moffat County Re:no 1</t>
  </si>
  <si>
    <t>Dolores RE-4a</t>
  </si>
  <si>
    <t>Colorado School for the Deaf and Blind</t>
  </si>
  <si>
    <t>Centennial BOCES</t>
  </si>
  <si>
    <t>Alamosa 11</t>
  </si>
  <si>
    <t>Arapahoe 28</t>
  </si>
  <si>
    <t>El Paso 11</t>
  </si>
  <si>
    <t>Fremont - Canon City</t>
  </si>
  <si>
    <t>Jefferson County</t>
  </si>
  <si>
    <t>Larimer Poudre R-1</t>
  </si>
  <si>
    <t>Mesa 51</t>
  </si>
  <si>
    <t>X010</t>
  </si>
  <si>
    <t>Division of Youth Corrections</t>
  </si>
  <si>
    <t>Platte Valley Re-3</t>
  </si>
  <si>
    <t>Keenesburg Re-3(J)</t>
  </si>
  <si>
    <t>Total</t>
  </si>
  <si>
    <t>Title ID-Youth</t>
  </si>
  <si>
    <t xml:space="preserve">Title III ELL </t>
  </si>
  <si>
    <t>Title IV</t>
  </si>
  <si>
    <t>Title V-B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</si>
  <si>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2018-19</t>
    </r>
  </si>
  <si>
    <t>Declined</t>
  </si>
  <si>
    <t>Total  with Signover and Declines</t>
  </si>
  <si>
    <t>7/1/18 THROUGH 9/30/20 - This grant does have carryover restrictions</t>
  </si>
  <si>
    <t>Signed Overs and Declines</t>
  </si>
  <si>
    <t>84.424A</t>
  </si>
  <si>
    <t>October
2020</t>
  </si>
  <si>
    <t>November
2020</t>
  </si>
  <si>
    <t>December
2020</t>
  </si>
  <si>
    <t>Revert</t>
  </si>
  <si>
    <t>Carry Forward</t>
  </si>
  <si>
    <t>Assignments</t>
  </si>
  <si>
    <t>Decline</t>
  </si>
  <si>
    <t>]\</t>
  </si>
  <si>
    <t xml:space="preserve">                         </t>
  </si>
  <si>
    <t>.</t>
  </si>
  <si>
    <t>Joe Shields 303-866-6034 or Shields_J@cde.state.co.us</t>
  </si>
  <si>
    <t>7/1/18 THROUGH 9/30/21</t>
  </si>
  <si>
    <t>January 2021</t>
  </si>
  <si>
    <t>February 2021</t>
  </si>
  <si>
    <t>March 2021</t>
  </si>
  <si>
    <t>April 2021</t>
  </si>
  <si>
    <t>May 2021</t>
  </si>
  <si>
    <t>June 2021</t>
  </si>
  <si>
    <t>7/1/18 THROUGH 9/30/21 -  This grant does have carryover restrictions</t>
  </si>
  <si>
    <t>July 2021</t>
  </si>
  <si>
    <t>August 2021</t>
  </si>
  <si>
    <t>September 2021</t>
  </si>
  <si>
    <t>September 21</t>
  </si>
  <si>
    <t>Cheyenne Mountain</t>
  </si>
  <si>
    <t>October 2021</t>
  </si>
  <si>
    <t>November 2021</t>
  </si>
  <si>
    <t>7/1/18 THROUGH 9/30/21  Anything not requested by Nov 1st, 2021 as been reverted back to USDE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</si>
</sst>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25" applyNumberFormat="0" applyAlignment="0" applyProtection="0"/>
    <xf numFmtId="0" fontId="39" fillId="10" borderId="26" applyNumberFormat="0" applyAlignment="0" applyProtection="0"/>
    <xf numFmtId="0" fontId="40" fillId="10" borderId="25" applyNumberFormat="0" applyAlignment="0" applyProtection="0"/>
    <xf numFmtId="0" fontId="41" fillId="0" borderId="27" applyNumberFormat="0" applyFill="0" applyAlignment="0" applyProtection="0"/>
    <xf numFmtId="0" fontId="42" fillId="11" borderId="28" applyNumberFormat="0" applyAlignment="0" applyProtection="0"/>
    <xf numFmtId="0" fontId="43" fillId="0" borderId="0" applyNumberFormat="0" applyFill="0" applyBorder="0" applyAlignment="0" applyProtection="0"/>
    <xf numFmtId="0" fontId="1" fillId="12" borderId="29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316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/>
    <xf numFmtId="0" fontId="10" fillId="2" borderId="9" xfId="0" applyFont="1" applyFill="1" applyBorder="1"/>
    <xf numFmtId="0" fontId="9" fillId="2" borderId="7" xfId="0" applyFont="1" applyFill="1" applyBorder="1"/>
    <xf numFmtId="164" fontId="9" fillId="2" borderId="9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Border="1"/>
    <xf numFmtId="0" fontId="9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17" fillId="0" borderId="0" xfId="0" applyFont="1"/>
    <xf numFmtId="38" fontId="17" fillId="0" borderId="0" xfId="0" applyNumberFormat="1" applyFont="1"/>
    <xf numFmtId="0" fontId="4" fillId="0" borderId="6" xfId="0" applyFont="1" applyFill="1" applyBorder="1"/>
    <xf numFmtId="38" fontId="4" fillId="0" borderId="0" xfId="0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/>
    <xf numFmtId="38" fontId="4" fillId="0" borderId="0" xfId="0" applyNumberFormat="1" applyFont="1" applyFill="1"/>
    <xf numFmtId="0" fontId="17" fillId="0" borderId="0" xfId="0" applyFont="1" applyFill="1"/>
    <xf numFmtId="38" fontId="17" fillId="0" borderId="0" xfId="0" applyNumberFormat="1" applyFont="1" applyFill="1"/>
    <xf numFmtId="0" fontId="19" fillId="4" borderId="0" xfId="0" applyFont="1" applyFill="1"/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0" fillId="0" borderId="0" xfId="0" applyAlignment="1"/>
    <xf numFmtId="0" fontId="30" fillId="0" borderId="20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0" fillId="0" borderId="0" xfId="2" applyNumberFormat="1" applyFont="1" applyFill="1"/>
    <xf numFmtId="166" fontId="6" fillId="2" borderId="18" xfId="2" applyNumberFormat="1" applyFont="1" applyFill="1" applyBorder="1"/>
    <xf numFmtId="166" fontId="9" fillId="2" borderId="18" xfId="2" applyNumberFormat="1" applyFont="1" applyFill="1" applyBorder="1"/>
    <xf numFmtId="166" fontId="19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19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49" fontId="10" fillId="2" borderId="8" xfId="2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64" fontId="9" fillId="2" borderId="7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166" fontId="10" fillId="2" borderId="8" xfId="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66" fontId="0" fillId="0" borderId="0" xfId="0" applyNumberFormat="1" applyBorder="1"/>
    <xf numFmtId="0" fontId="0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6" fontId="10" fillId="2" borderId="7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38" fontId="4" fillId="0" borderId="0" xfId="0" applyNumberFormat="1" applyFont="1" applyFill="1" applyBorder="1"/>
    <xf numFmtId="166" fontId="10" fillId="2" borderId="7" xfId="2" applyNumberFormat="1" applyFont="1" applyFill="1" applyBorder="1"/>
    <xf numFmtId="49" fontId="10" fillId="2" borderId="7" xfId="2" applyNumberFormat="1" applyFont="1" applyFill="1" applyBorder="1" applyAlignment="1">
      <alignment horizontal="center"/>
    </xf>
    <xf numFmtId="166" fontId="0" fillId="0" borderId="0" xfId="0" applyNumberFormat="1" applyFill="1"/>
    <xf numFmtId="49" fontId="10" fillId="2" borderId="9" xfId="0" quotePrefix="1" applyNumberFormat="1" applyFont="1" applyFill="1" applyBorder="1"/>
    <xf numFmtId="49" fontId="7" fillId="2" borderId="0" xfId="0" applyNumberFormat="1" applyFont="1" applyFill="1"/>
    <xf numFmtId="49" fontId="0" fillId="2" borderId="0" xfId="0" applyNumberFormat="1" applyFill="1"/>
    <xf numFmtId="49" fontId="9" fillId="2" borderId="0" xfId="0" applyNumberFormat="1" applyFont="1" applyFill="1"/>
    <xf numFmtId="49" fontId="2" fillId="0" borderId="3" xfId="0" applyNumberFormat="1" applyFont="1" applyFill="1" applyBorder="1" applyAlignment="1">
      <alignment horizontal="center" vertical="center"/>
    </xf>
    <xf numFmtId="49" fontId="10" fillId="2" borderId="7" xfId="2" applyNumberFormat="1" applyFont="1" applyFill="1" applyBorder="1"/>
    <xf numFmtId="49" fontId="0" fillId="0" borderId="0" xfId="0" applyNumberFormat="1"/>
    <xf numFmtId="43" fontId="10" fillId="2" borderId="7" xfId="2" applyNumberFormat="1" applyFont="1" applyFill="1" applyBorder="1" applyAlignment="1">
      <alignment horizontal="center"/>
    </xf>
    <xf numFmtId="43" fontId="10" fillId="2" borderId="7" xfId="2" applyNumberFormat="1" applyFont="1" applyFill="1" applyBorder="1"/>
    <xf numFmtId="166" fontId="10" fillId="0" borderId="32" xfId="2" applyNumberFormat="1" applyFont="1" applyFill="1" applyBorder="1"/>
    <xf numFmtId="0" fontId="0" fillId="0" borderId="0" xfId="0" applyFill="1" applyBorder="1"/>
    <xf numFmtId="49" fontId="9" fillId="2" borderId="7" xfId="0" applyNumberFormat="1" applyFont="1" applyFill="1" applyBorder="1" applyAlignment="1">
      <alignment horizontal="left"/>
    </xf>
    <xf numFmtId="49" fontId="10" fillId="2" borderId="7" xfId="2" applyNumberFormat="1" applyFont="1" applyFill="1" applyBorder="1" applyAlignment="1">
      <alignment horizontal="left"/>
    </xf>
    <xf numFmtId="49" fontId="10" fillId="0" borderId="32" xfId="2" applyNumberFormat="1" applyFont="1" applyFill="1" applyBorder="1" applyAlignment="1">
      <alignment horizontal="left"/>
    </xf>
    <xf numFmtId="49" fontId="10" fillId="0" borderId="31" xfId="0" applyNumberFormat="1" applyFont="1" applyFill="1" applyBorder="1"/>
    <xf numFmtId="0" fontId="10" fillId="0" borderId="31" xfId="0" applyFont="1" applyFill="1" applyBorder="1"/>
    <xf numFmtId="166" fontId="6" fillId="0" borderId="31" xfId="2" applyNumberFormat="1" applyFont="1" applyFill="1" applyBorder="1"/>
    <xf numFmtId="0" fontId="12" fillId="0" borderId="31" xfId="0" quotePrefix="1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left"/>
    </xf>
    <xf numFmtId="166" fontId="6" fillId="0" borderId="17" xfId="2" applyNumberFormat="1" applyFont="1" applyFill="1" applyBorder="1"/>
    <xf numFmtId="49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66" fontId="3" fillId="0" borderId="0" xfId="2" applyNumberFormat="1" applyFont="1" applyFill="1" applyBorder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2" fillId="0" borderId="3" xfId="0" applyNumberFormat="1" applyFont="1" applyFill="1" applyBorder="1" applyAlignment="1">
      <alignment horizontal="left" vertical="center"/>
    </xf>
    <xf numFmtId="49" fontId="11" fillId="2" borderId="0" xfId="0" quotePrefix="1" applyNumberFormat="1" applyFont="1" applyFill="1" applyAlignment="1">
      <alignment horizontal="center"/>
    </xf>
    <xf numFmtId="43" fontId="0" fillId="0" borderId="0" xfId="0" applyNumberFormat="1"/>
    <xf numFmtId="44" fontId="6" fillId="2" borderId="0" xfId="0" applyNumberFormat="1" applyFont="1" applyFill="1"/>
    <xf numFmtId="0" fontId="0" fillId="37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1" fontId="0" fillId="0" borderId="0" xfId="1" applyNumberFormat="1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49" fontId="14" fillId="2" borderId="0" xfId="2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1" fontId="0" fillId="0" borderId="0" xfId="0" applyNumberFormat="1" applyFill="1"/>
    <xf numFmtId="49" fontId="20" fillId="2" borderId="0" xfId="0" applyNumberFormat="1" applyFont="1" applyFill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0" fillId="0" borderId="32" xfId="2" applyNumberFormat="1" applyFont="1" applyFill="1" applyBorder="1" applyAlignment="1">
      <alignment horizontal="center"/>
    </xf>
    <xf numFmtId="49" fontId="14" fillId="2" borderId="7" xfId="2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3" fontId="2" fillId="2" borderId="0" xfId="0" applyNumberFormat="1" applyFont="1" applyFill="1" applyAlignment="1">
      <alignment horizontal="left"/>
    </xf>
    <xf numFmtId="43" fontId="2" fillId="2" borderId="0" xfId="0" applyNumberFormat="1" applyFont="1" applyFill="1"/>
    <xf numFmtId="166" fontId="0" fillId="0" borderId="0" xfId="0" applyNumberFormat="1" applyFont="1"/>
    <xf numFmtId="4" fontId="10" fillId="2" borderId="7" xfId="2" applyNumberFormat="1" applyFont="1" applyFill="1" applyBorder="1"/>
    <xf numFmtId="4" fontId="10" fillId="0" borderId="32" xfId="2" applyNumberFormat="1" applyFont="1" applyFill="1" applyBorder="1"/>
    <xf numFmtId="4" fontId="14" fillId="2" borderId="7" xfId="2" applyNumberFormat="1" applyFont="1" applyFill="1" applyBorder="1"/>
    <xf numFmtId="4" fontId="6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2" borderId="18" xfId="2" applyNumberFormat="1" applyFont="1" applyFill="1" applyBorder="1"/>
    <xf numFmtId="4" fontId="6" fillId="2" borderId="9" xfId="2" applyNumberFormat="1" applyFont="1" applyFill="1" applyBorder="1"/>
    <xf numFmtId="4" fontId="6" fillId="2" borderId="10" xfId="2" applyNumberFormat="1" applyFont="1" applyFill="1" applyBorder="1"/>
    <xf numFmtId="4" fontId="0" fillId="0" borderId="0" xfId="2" applyNumberFormat="1" applyFont="1"/>
    <xf numFmtId="4" fontId="6" fillId="0" borderId="0" xfId="2" applyNumberFormat="1" applyFont="1"/>
    <xf numFmtId="4" fontId="0" fillId="0" borderId="0" xfId="0" applyNumberFormat="1"/>
    <xf numFmtId="4" fontId="6" fillId="0" borderId="31" xfId="2" applyNumberFormat="1" applyFont="1" applyFill="1" applyBorder="1"/>
    <xf numFmtId="4" fontId="0" fillId="0" borderId="0" xfId="2" applyNumberFormat="1" applyFont="1" applyFill="1" applyBorder="1"/>
    <xf numFmtId="4" fontId="6" fillId="0" borderId="0" xfId="2" applyNumberFormat="1" applyFont="1" applyFill="1" applyBorder="1"/>
    <xf numFmtId="4" fontId="0" fillId="0" borderId="0" xfId="0" applyNumberFormat="1" applyFill="1" applyBorder="1"/>
    <xf numFmtId="4" fontId="9" fillId="2" borderId="18" xfId="2" applyNumberFormat="1" applyFont="1" applyFill="1" applyBorder="1"/>
    <xf numFmtId="39" fontId="6" fillId="2" borderId="18" xfId="2" applyNumberFormat="1" applyFont="1" applyFill="1" applyBorder="1"/>
    <xf numFmtId="39" fontId="6" fillId="0" borderId="31" xfId="2" applyNumberFormat="1" applyFont="1" applyFill="1" applyBorder="1"/>
    <xf numFmtId="39" fontId="9" fillId="2" borderId="18" xfId="2" applyNumberFormat="1" applyFont="1" applyFill="1" applyBorder="1"/>
    <xf numFmtId="4" fontId="6" fillId="0" borderId="17" xfId="2" applyNumberFormat="1" applyFont="1" applyFill="1" applyBorder="1"/>
    <xf numFmtId="39" fontId="6" fillId="0" borderId="17" xfId="2" applyNumberFormat="1" applyFont="1" applyFill="1" applyBorder="1"/>
    <xf numFmtId="39" fontId="10" fillId="2" borderId="7" xfId="2" applyNumberFormat="1" applyFont="1" applyFill="1" applyBorder="1"/>
    <xf numFmtId="39" fontId="10" fillId="0" borderId="32" xfId="2" applyNumberFormat="1" applyFont="1" applyFill="1" applyBorder="1"/>
    <xf numFmtId="39" fontId="9" fillId="2" borderId="7" xfId="2" applyNumberFormat="1" applyFont="1" applyFill="1" applyBorder="1"/>
    <xf numFmtId="4" fontId="3" fillId="0" borderId="0" xfId="2" applyNumberFormat="1" applyFont="1" applyBorder="1"/>
    <xf numFmtId="4" fontId="6" fillId="0" borderId="0" xfId="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2" applyNumberFormat="1" applyFont="1" applyFill="1" applyBorder="1"/>
    <xf numFmtId="4" fontId="9" fillId="2" borderId="9" xfId="2" applyNumberFormat="1" applyFont="1" applyFill="1" applyBorder="1"/>
    <xf numFmtId="4" fontId="0" fillId="0" borderId="0" xfId="0" applyNumberFormat="1" applyFont="1" applyAlignment="1">
      <alignment horizontal="right"/>
    </xf>
    <xf numFmtId="4" fontId="14" fillId="2" borderId="7" xfId="2" applyNumberFormat="1" applyFont="1" applyFill="1" applyBorder="1" applyAlignment="1">
      <alignment horizontal="center"/>
    </xf>
    <xf numFmtId="4" fontId="10" fillId="2" borderId="7" xfId="2" applyNumberFormat="1" applyFont="1" applyFill="1" applyBorder="1" applyAlignment="1">
      <alignment horizontal="right"/>
    </xf>
    <xf numFmtId="4" fontId="14" fillId="2" borderId="7" xfId="2" applyNumberFormat="1" applyFont="1" applyFill="1" applyBorder="1" applyAlignment="1">
      <alignment horizontal="right"/>
    </xf>
    <xf numFmtId="4" fontId="6" fillId="37" borderId="0" xfId="2" applyNumberFormat="1" applyFont="1" applyFill="1" applyBorder="1" applyAlignment="1">
      <alignment horizontal="right"/>
    </xf>
    <xf numFmtId="4" fontId="6" fillId="0" borderId="0" xfId="0" applyNumberFormat="1" applyFont="1"/>
    <xf numFmtId="4" fontId="0" fillId="0" borderId="0" xfId="0" applyNumberFormat="1" applyFont="1"/>
    <xf numFmtId="39" fontId="10" fillId="2" borderId="7" xfId="2" applyNumberFormat="1" applyFont="1" applyFill="1" applyBorder="1" applyAlignment="1">
      <alignment horizontal="right"/>
    </xf>
    <xf numFmtId="39" fontId="0" fillId="0" borderId="0" xfId="0" applyNumberFormat="1" applyFill="1"/>
    <xf numFmtId="39" fontId="2" fillId="2" borderId="0" xfId="1" applyNumberFormat="1" applyFont="1" applyFill="1" applyAlignment="1">
      <alignment horizontal="right"/>
    </xf>
    <xf numFmtId="4" fontId="10" fillId="37" borderId="7" xfId="2" applyNumberFormat="1" applyFont="1" applyFill="1" applyBorder="1"/>
    <xf numFmtId="4" fontId="0" fillId="0" borderId="0" xfId="0" applyNumberFormat="1" applyFill="1"/>
    <xf numFmtId="4" fontId="0" fillId="0" borderId="0" xfId="2" applyNumberFormat="1" applyFont="1" applyFill="1"/>
    <xf numFmtId="4" fontId="2" fillId="2" borderId="0" xfId="1" applyNumberFormat="1" applyFont="1" applyFill="1" applyAlignment="1">
      <alignment horizontal="left"/>
    </xf>
    <xf numFmtId="4" fontId="2" fillId="2" borderId="0" xfId="0" applyNumberFormat="1" applyFont="1" applyFill="1"/>
    <xf numFmtId="4" fontId="10" fillId="2" borderId="8" xfId="2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2" applyNumberFormat="1" applyFont="1" applyFill="1"/>
    <xf numFmtId="4" fontId="0" fillId="0" borderId="0" xfId="0" applyNumberFormat="1" applyBorder="1"/>
    <xf numFmtId="4" fontId="6" fillId="3" borderId="0" xfId="2" applyNumberFormat="1" applyFont="1" applyFill="1" applyBorder="1" applyAlignment="1">
      <alignment horizontal="right"/>
    </xf>
    <xf numFmtId="4" fontId="10" fillId="37" borderId="8" xfId="2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 vertical="center" wrapText="1"/>
    </xf>
    <xf numFmtId="4" fontId="10" fillId="37" borderId="7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2" applyNumberFormat="1" applyFont="1" applyFill="1"/>
    <xf numFmtId="2" fontId="10" fillId="2" borderId="7" xfId="2" applyNumberFormat="1" applyFont="1" applyFill="1" applyBorder="1"/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15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2" borderId="0" xfId="0" applyFont="1" applyFill="1" applyAlignment="1"/>
    <xf numFmtId="0" fontId="13" fillId="2" borderId="0" xfId="0" applyFont="1" applyFill="1" applyAlignment="1"/>
    <xf numFmtId="4" fontId="0" fillId="0" borderId="0" xfId="0" applyNumberFormat="1" applyFill="1" applyAlignment="1"/>
    <xf numFmtId="4" fontId="2" fillId="2" borderId="0" xfId="0" applyNumberFormat="1" applyFont="1" applyFill="1" applyAlignment="1"/>
    <xf numFmtId="0" fontId="0" fillId="0" borderId="0" xfId="0" applyFill="1" applyAlignment="1"/>
    <xf numFmtId="4" fontId="6" fillId="4" borderId="0" xfId="2" applyNumberFormat="1" applyFont="1" applyFill="1" applyBorder="1" applyAlignment="1">
      <alignment horizontal="right"/>
    </xf>
    <xf numFmtId="49" fontId="10" fillId="2" borderId="7" xfId="2" quotePrefix="1" applyNumberFormat="1" applyFont="1" applyFill="1" applyBorder="1" applyAlignment="1">
      <alignment horizontal="center"/>
    </xf>
    <xf numFmtId="167" fontId="0" fillId="0" borderId="0" xfId="0" applyNumberFormat="1" applyBorder="1"/>
    <xf numFmtId="44" fontId="0" fillId="0" borderId="0" xfId="0" applyNumberFormat="1" applyFill="1"/>
    <xf numFmtId="4" fontId="10" fillId="37" borderId="38" xfId="2" applyNumberFormat="1" applyFont="1" applyFill="1" applyBorder="1" applyAlignment="1">
      <alignment horizontal="right"/>
    </xf>
    <xf numFmtId="4" fontId="10" fillId="3" borderId="8" xfId="2" applyNumberFormat="1" applyFont="1" applyFill="1" applyBorder="1" applyAlignment="1">
      <alignment horizontal="right"/>
    </xf>
    <xf numFmtId="4" fontId="10" fillId="37" borderId="39" xfId="2" applyNumberFormat="1" applyFont="1" applyFill="1" applyBorder="1" applyAlignment="1">
      <alignment horizontal="right"/>
    </xf>
    <xf numFmtId="4" fontId="10" fillId="37" borderId="40" xfId="2" applyNumberFormat="1" applyFont="1" applyFill="1" applyBorder="1" applyAlignment="1">
      <alignment horizontal="right"/>
    </xf>
    <xf numFmtId="4" fontId="10" fillId="37" borderId="9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37" borderId="9" xfId="0" applyFont="1" applyFill="1" applyBorder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" fillId="0" borderId="0" xfId="2" applyNumberFormat="1" applyFont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1" fillId="0" borderId="0" xfId="2" applyNumberFormat="1" applyFont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1" fillId="0" borderId="0" xfId="2" applyNumberFormat="1" applyFont="1" applyFill="1" applyBorder="1"/>
    <xf numFmtId="4" fontId="1" fillId="0" borderId="0" xfId="0" applyNumberFormat="1" applyFont="1"/>
    <xf numFmtId="4" fontId="1" fillId="37" borderId="0" xfId="2" applyNumberFormat="1" applyFont="1" applyFill="1" applyBorder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2" applyNumberFormat="1" applyFont="1"/>
    <xf numFmtId="0" fontId="1" fillId="0" borderId="0" xfId="0" applyFont="1"/>
    <xf numFmtId="4" fontId="1" fillId="3" borderId="0" xfId="0" applyNumberFormat="1" applyFont="1" applyFill="1"/>
    <xf numFmtId="4" fontId="1" fillId="37" borderId="0" xfId="0" applyNumberFormat="1" applyFont="1" applyFill="1"/>
    <xf numFmtId="4" fontId="1" fillId="0" borderId="0" xfId="0" applyNumberFormat="1" applyFont="1" applyFill="1"/>
    <xf numFmtId="4" fontId="6" fillId="38" borderId="0" xfId="2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0" fillId="0" borderId="0" xfId="0" applyNumberFormat="1" applyFont="1" applyBorder="1"/>
    <xf numFmtId="4" fontId="9" fillId="0" borderId="9" xfId="2" applyNumberFormat="1" applyFont="1" applyFill="1" applyBorder="1"/>
    <xf numFmtId="166" fontId="6" fillId="2" borderId="18" xfId="2" quotePrefix="1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 xr:uid="{00000000-0005-0000-0000-00001C000000}"/>
    <cellStyle name="Comma 2 2" xfId="6" xr:uid="{00000000-0005-0000-0000-00001D000000}"/>
    <cellStyle name="Comma 2 2 2" xfId="29" xr:uid="{00000000-0005-0000-0000-00001E000000}"/>
    <cellStyle name="Comma 3" xfId="14" xr:uid="{00000000-0005-0000-0000-00001F000000}"/>
    <cellStyle name="Comma 3 2" xfId="35" xr:uid="{00000000-0005-0000-0000-000020000000}"/>
    <cellStyle name="Comma 4" xfId="21" xr:uid="{00000000-0005-0000-0000-000021000000}"/>
    <cellStyle name="Comma 4 2" xfId="38" xr:uid="{00000000-0005-0000-0000-000022000000}"/>
    <cellStyle name="Comma 5" xfId="5" xr:uid="{00000000-0005-0000-0000-000023000000}"/>
    <cellStyle name="Comma 5 2" xfId="28" xr:uid="{00000000-0005-0000-0000-000024000000}"/>
    <cellStyle name="Comma 6" xfId="83" xr:uid="{00000000-0005-0000-0000-000025000000}"/>
    <cellStyle name="Currency" xfId="1" builtinId="4"/>
    <cellStyle name="Currency 2" xfId="8" xr:uid="{00000000-0005-0000-0000-000027000000}"/>
    <cellStyle name="Currency 2 2" xfId="31" xr:uid="{00000000-0005-0000-0000-000028000000}"/>
    <cellStyle name="Currency 3" xfId="7" xr:uid="{00000000-0005-0000-0000-000029000000}"/>
    <cellStyle name="Currency 3 2" xfId="30" xr:uid="{00000000-0005-0000-0000-00002A000000}"/>
    <cellStyle name="Currency 4" xfId="82" xr:uid="{00000000-0005-0000-0000-00002B000000}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 xr:uid="{00000000-0005-0000-0000-000032000000}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 xr:uid="{00000000-0005-0000-0000-000037000000}"/>
    <cellStyle name="Normal 10 2" xfId="26" xr:uid="{00000000-0005-0000-0000-000038000000}"/>
    <cellStyle name="Normal 11" xfId="4" xr:uid="{00000000-0005-0000-0000-000039000000}"/>
    <cellStyle name="Normal 12" xfId="27" xr:uid="{00000000-0005-0000-0000-00003A000000}"/>
    <cellStyle name="Normal 12 2" xfId="84" xr:uid="{00000000-0005-0000-0000-00003B000000}"/>
    <cellStyle name="Normal 13" xfId="81" xr:uid="{00000000-0005-0000-0000-00003C000000}"/>
    <cellStyle name="Normal 14" xfId="79" xr:uid="{00000000-0005-0000-0000-00003D000000}"/>
    <cellStyle name="Normal 2" xfId="9" xr:uid="{00000000-0005-0000-0000-00003E000000}"/>
    <cellStyle name="Normal 2 2" xfId="24" xr:uid="{00000000-0005-0000-0000-00003F000000}"/>
    <cellStyle name="Normal 3" xfId="10" xr:uid="{00000000-0005-0000-0000-000040000000}"/>
    <cellStyle name="Normal 3 2" xfId="11" xr:uid="{00000000-0005-0000-0000-000041000000}"/>
    <cellStyle name="Normal 3 2 2" xfId="32" xr:uid="{00000000-0005-0000-0000-000042000000}"/>
    <cellStyle name="Normal 4" xfId="16" xr:uid="{00000000-0005-0000-0000-000043000000}"/>
    <cellStyle name="Normal 4 2" xfId="37" xr:uid="{00000000-0005-0000-0000-000044000000}"/>
    <cellStyle name="Normal 5" xfId="17" xr:uid="{00000000-0005-0000-0000-000045000000}"/>
    <cellStyle name="Normal 6" xfId="18" xr:uid="{00000000-0005-0000-0000-000046000000}"/>
    <cellStyle name="Normal 7" xfId="19" xr:uid="{00000000-0005-0000-0000-000047000000}"/>
    <cellStyle name="Normal 8" xfId="22" xr:uid="{00000000-0005-0000-0000-000048000000}"/>
    <cellStyle name="Normal 9" xfId="23" xr:uid="{00000000-0005-0000-0000-000049000000}"/>
    <cellStyle name="Note" xfId="52" builtinId="10" customBuiltin="1"/>
    <cellStyle name="Output" xfId="47" builtinId="21" customBuiltin="1"/>
    <cellStyle name="Percent 2" xfId="13" xr:uid="{00000000-0005-0000-0000-00004C000000}"/>
    <cellStyle name="Percent 2 2" xfId="34" xr:uid="{00000000-0005-0000-0000-00004D000000}"/>
    <cellStyle name="Percent 3" xfId="15" xr:uid="{00000000-0005-0000-0000-00004E000000}"/>
    <cellStyle name="Percent 3 2" xfId="36" xr:uid="{00000000-0005-0000-0000-00004F000000}"/>
    <cellStyle name="Percent 4" xfId="12" xr:uid="{00000000-0005-0000-0000-000050000000}"/>
    <cellStyle name="Percent 4 2" xfId="33" xr:uid="{00000000-0005-0000-0000-000051000000}"/>
    <cellStyle name="Title 2" xfId="80" xr:uid="{00000000-0005-0000-0000-000052000000}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CCECFF"/>
      <color rgb="FF99CCFF"/>
      <color rgb="FF66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66FF"/>
  </sheetPr>
  <dimension ref="A1:J225"/>
  <sheetViews>
    <sheetView zoomScale="85" zoomScaleNormal="85" workbookViewId="0">
      <pane ySplit="3" topLeftCell="A67" activePane="bottomLeft" state="frozen"/>
      <selection activeCell="G13" sqref="G13:G135"/>
      <selection pane="bottomLeft" activeCell="J194" sqref="J194"/>
    </sheetView>
  </sheetViews>
  <sheetFormatPr defaultColWidth="9.140625" defaultRowHeight="15" x14ac:dyDescent="0.25"/>
  <cols>
    <col min="1" max="1" width="9.140625" style="268"/>
    <col min="2" max="2" width="30.85546875" style="58" customWidth="1"/>
    <col min="3" max="3" width="20.42578125" style="58" customWidth="1"/>
    <col min="4" max="5" width="21.7109375" style="58" customWidth="1"/>
    <col min="6" max="6" width="17.7109375" style="58" customWidth="1"/>
    <col min="7" max="7" width="15" style="58" customWidth="1"/>
    <col min="8" max="8" width="15.85546875" style="58" customWidth="1"/>
    <col min="9" max="10" width="19.85546875" style="58" customWidth="1"/>
    <col min="11" max="16384" width="9.140625" style="58"/>
  </cols>
  <sheetData>
    <row r="1" spans="1:10" ht="15.75" customHeight="1" x14ac:dyDescent="0.25">
      <c r="A1" s="310" t="s">
        <v>644</v>
      </c>
      <c r="B1" s="311"/>
      <c r="C1" s="311"/>
      <c r="D1" s="311"/>
      <c r="E1" s="311"/>
      <c r="F1" s="311"/>
      <c r="G1" s="311"/>
      <c r="H1" s="311"/>
      <c r="I1" s="312"/>
      <c r="J1" s="177"/>
    </row>
    <row r="2" spans="1:10" ht="15.75" customHeight="1" thickBot="1" x14ac:dyDescent="0.3">
      <c r="A2" s="313"/>
      <c r="B2" s="314"/>
      <c r="C2" s="314"/>
      <c r="D2" s="314"/>
      <c r="E2" s="314"/>
      <c r="F2" s="314"/>
      <c r="G2" s="314"/>
      <c r="H2" s="314"/>
      <c r="I2" s="315"/>
      <c r="J2" s="177"/>
    </row>
    <row r="3" spans="1:10" ht="19.5" thickBot="1" x14ac:dyDescent="0.35">
      <c r="A3" s="178" t="s">
        <v>366</v>
      </c>
      <c r="B3" s="179" t="s">
        <v>399</v>
      </c>
      <c r="C3" s="179" t="s">
        <v>6</v>
      </c>
      <c r="D3" s="179" t="s">
        <v>389</v>
      </c>
      <c r="E3" s="179" t="s">
        <v>640</v>
      </c>
      <c r="F3" s="179" t="s">
        <v>390</v>
      </c>
      <c r="G3" s="179" t="s">
        <v>641</v>
      </c>
      <c r="H3" s="179" t="s">
        <v>391</v>
      </c>
      <c r="I3" s="179" t="s">
        <v>642</v>
      </c>
      <c r="J3" s="180" t="s">
        <v>643</v>
      </c>
    </row>
    <row r="4" spans="1:10" ht="18.75" x14ac:dyDescent="0.3">
      <c r="A4" s="261" t="s">
        <v>7</v>
      </c>
      <c r="B4" s="60" t="s">
        <v>185</v>
      </c>
      <c r="C4" s="61">
        <f>VLOOKUP(A4,'ESSA Title I-A Formula'!A12:G194,7,FALSE)</f>
        <v>0</v>
      </c>
      <c r="D4" s="61">
        <v>0</v>
      </c>
      <c r="E4" s="143">
        <v>0</v>
      </c>
      <c r="F4" s="61">
        <f>VLOOKUP(A4,'ESSA Title II-A Formula'!A12:G194,7,FALSE)</f>
        <v>0</v>
      </c>
      <c r="G4" s="61">
        <f>VLOOKUP(A4,'ESSA Title III-ELL '!$A$12:$G$196,7,FALSE)</f>
        <v>0</v>
      </c>
      <c r="H4" s="61">
        <v>0</v>
      </c>
      <c r="I4" s="61">
        <f>VLOOKUP(A4,'Title IV'!$A$12:$G$194,7,FALSE)</f>
        <v>0</v>
      </c>
      <c r="J4" s="143">
        <v>0</v>
      </c>
    </row>
    <row r="5" spans="1:10" ht="18.75" x14ac:dyDescent="0.3">
      <c r="A5" s="262" t="s">
        <v>8</v>
      </c>
      <c r="B5" s="62" t="s">
        <v>186</v>
      </c>
      <c r="C5" s="143">
        <f>VLOOKUP(A5,'ESSA Title I-A Formula'!A13:G195,7,FALSE)</f>
        <v>0</v>
      </c>
      <c r="D5" s="61">
        <f>IFERROR(VLOOKUP(A5,'ESSA Title I-Delinquent'!$A$12:$G$23,5,FALSE),0)</f>
        <v>0</v>
      </c>
      <c r="E5" s="143">
        <v>0</v>
      </c>
      <c r="F5" s="143">
        <f>VLOOKUP(A5,'ESSA Title II-A Formula'!A13:G195,7,FALSE)</f>
        <v>0</v>
      </c>
      <c r="G5" s="143">
        <f>VLOOKUP(A5,'ESSA Title III-ELL '!$A$12:$G$196,7,FALSE)</f>
        <v>0</v>
      </c>
      <c r="H5" s="143">
        <f>VLOOKUP(A5,'ESSA Title III SAI'!$A$12:$G$48,7,FALSE)</f>
        <v>0</v>
      </c>
      <c r="I5" s="143">
        <f>VLOOKUP(A5,'Title IV'!$A$12:$G$194,7,FALSE)</f>
        <v>0</v>
      </c>
      <c r="J5" s="143">
        <v>0</v>
      </c>
    </row>
    <row r="6" spans="1:10" ht="18.75" x14ac:dyDescent="0.3">
      <c r="A6" s="262" t="s">
        <v>9</v>
      </c>
      <c r="B6" s="62" t="s">
        <v>187</v>
      </c>
      <c r="C6" s="143">
        <f>VLOOKUP(A6,'ESSA Title I-A Formula'!A14:G196,7,FALSE)</f>
        <v>0</v>
      </c>
      <c r="D6" s="61">
        <f>IFERROR(VLOOKUP(A6,'ESSA Title I-Delinquent'!$A$12:$G$23,5,FALSE),0)</f>
        <v>0</v>
      </c>
      <c r="E6" s="143">
        <v>0</v>
      </c>
      <c r="F6" s="143">
        <f>VLOOKUP(A6,'ESSA Title II-A Formula'!A14:G196,7,FALSE)</f>
        <v>0</v>
      </c>
      <c r="G6" s="143">
        <f>VLOOKUP(A6,'ESSA Title III-ELL '!$A$12:$G$196,7,FALSE)</f>
        <v>0</v>
      </c>
      <c r="H6" s="143">
        <f>VLOOKUP(A6,'ESSA Title III SAI'!$A$12:$G$48,7,FALSE)</f>
        <v>0</v>
      </c>
      <c r="I6" s="143">
        <f>VLOOKUP(A6,'Title IV'!$A$12:$G$194,7,FALSE)</f>
        <v>0</v>
      </c>
      <c r="J6" s="143">
        <v>0</v>
      </c>
    </row>
    <row r="7" spans="1:10" ht="18.75" x14ac:dyDescent="0.3">
      <c r="A7" s="262" t="s">
        <v>10</v>
      </c>
      <c r="B7" s="62" t="s">
        <v>188</v>
      </c>
      <c r="C7" s="143">
        <f>VLOOKUP(A7,'ESSA Title I-A Formula'!A15:G197,7,FALSE)</f>
        <v>0</v>
      </c>
      <c r="D7" s="61">
        <f>IFERROR(VLOOKUP(A7,'ESSA Title I-Delinquent'!$A$12:$G$23,5,FALSE),0)</f>
        <v>0</v>
      </c>
      <c r="E7" s="143">
        <v>0</v>
      </c>
      <c r="F7" s="143">
        <f>VLOOKUP(A7,'ESSA Title II-A Formula'!A15:G197,7,FALSE)</f>
        <v>0</v>
      </c>
      <c r="G7" s="143">
        <f>VLOOKUP(A7,'ESSA Title III-ELL '!$A$12:$G$196,7,FALSE)</f>
        <v>0</v>
      </c>
      <c r="H7" s="143">
        <v>0</v>
      </c>
      <c r="I7" s="143">
        <f>VLOOKUP(A7,'Title IV'!$A$12:$G$194,7,FALSE)</f>
        <v>0</v>
      </c>
      <c r="J7" s="143">
        <v>0</v>
      </c>
    </row>
    <row r="8" spans="1:10" ht="18.75" x14ac:dyDescent="0.3">
      <c r="A8" s="262" t="s">
        <v>11</v>
      </c>
      <c r="B8" s="62" t="s">
        <v>189</v>
      </c>
      <c r="C8" s="143">
        <f>VLOOKUP(A8,'ESSA Title I-A Formula'!A16:G198,7,FALSE)</f>
        <v>0</v>
      </c>
      <c r="D8" s="61">
        <f>IFERROR(VLOOKUP(A8,'ESSA Title I-Delinquent'!$A$12:$G$23,5,FALSE),0)</f>
        <v>0</v>
      </c>
      <c r="E8" s="143">
        <v>0</v>
      </c>
      <c r="F8" s="143">
        <f>VLOOKUP(A8,'ESSA Title II-A Formula'!A16:G198,7,FALSE)</f>
        <v>0</v>
      </c>
      <c r="G8" s="143">
        <f>VLOOKUP(A8,'ESSA Title III-ELL '!$A$12:$G$196,7,FALSE)</f>
        <v>0</v>
      </c>
      <c r="H8" s="143">
        <v>0</v>
      </c>
      <c r="I8" s="143">
        <f>VLOOKUP(A8,'Title IV'!$A$12:$G$194,7,FALSE)</f>
        <v>0</v>
      </c>
      <c r="J8" s="143">
        <v>0</v>
      </c>
    </row>
    <row r="9" spans="1:10" ht="18.75" x14ac:dyDescent="0.3">
      <c r="A9" s="262" t="s">
        <v>12</v>
      </c>
      <c r="B9" s="62" t="s">
        <v>190</v>
      </c>
      <c r="C9" s="143">
        <f>VLOOKUP(A9,'ESSA Title I-A Formula'!A17:G199,7,FALSE)</f>
        <v>0</v>
      </c>
      <c r="D9" s="61">
        <f>IFERROR(VLOOKUP(A9,'ESSA Title I-Delinquent'!$A$12:$G$23,5,FALSE),0)</f>
        <v>0</v>
      </c>
      <c r="E9" s="143">
        <v>0</v>
      </c>
      <c r="F9" s="143">
        <f>VLOOKUP(A9,'ESSA Title II-A Formula'!A17:G199,7,FALSE)</f>
        <v>0</v>
      </c>
      <c r="G9" s="143">
        <f>VLOOKUP(A9,'ESSA Title III-ELL '!$A$12:$G$196,7,FALSE)</f>
        <v>0</v>
      </c>
      <c r="H9" s="143">
        <v>0</v>
      </c>
      <c r="I9" s="143">
        <f>VLOOKUP(A9,'Title IV'!$A$12:$G$194,7,FALSE)</f>
        <v>0</v>
      </c>
      <c r="J9" s="143">
        <v>0</v>
      </c>
    </row>
    <row r="10" spans="1:10" ht="18.75" x14ac:dyDescent="0.3">
      <c r="A10" s="262" t="s">
        <v>13</v>
      </c>
      <c r="B10" s="62" t="s">
        <v>191</v>
      </c>
      <c r="C10" s="143">
        <f>VLOOKUP(A10,'ESSA Title I-A Formula'!A18:G200,7,FALSE)</f>
        <v>0</v>
      </c>
      <c r="D10" s="61">
        <f>IFERROR(VLOOKUP(A10,'ESSA Title I-Delinquent'!$A$12:$G$23,5,FALSE),0)</f>
        <v>0</v>
      </c>
      <c r="E10" s="143">
        <v>0</v>
      </c>
      <c r="F10" s="143">
        <f>VLOOKUP(A10,'ESSA Title II-A Formula'!A18:G200,7,FALSE)</f>
        <v>0</v>
      </c>
      <c r="G10" s="143">
        <f>VLOOKUP(A10,'ESSA Title III-ELL '!$A$12:$G$196,7,FALSE)</f>
        <v>0</v>
      </c>
      <c r="H10" s="143">
        <v>0</v>
      </c>
      <c r="I10" s="143">
        <f>VLOOKUP(A10,'Title IV'!$A$12:$G$194,7,FALSE)</f>
        <v>0</v>
      </c>
      <c r="J10" s="143">
        <v>0</v>
      </c>
    </row>
    <row r="11" spans="1:10" ht="18.75" x14ac:dyDescent="0.3">
      <c r="A11" s="262" t="s">
        <v>14</v>
      </c>
      <c r="B11" s="62" t="s">
        <v>192</v>
      </c>
      <c r="C11" s="143">
        <f>VLOOKUP(A11,'ESSA Title I-A Formula'!A19:G201,7,FALSE)</f>
        <v>0</v>
      </c>
      <c r="D11" s="61">
        <f>VLOOKUP(A11,'ESSA Title I-Delinquent'!$A$12:$G$23,7,FALSE)</f>
        <v>0</v>
      </c>
      <c r="E11" s="143">
        <v>0</v>
      </c>
      <c r="F11" s="143">
        <f>VLOOKUP(A11,'ESSA Title II-A Formula'!A19:G201,7,FALSE)</f>
        <v>0</v>
      </c>
      <c r="G11" s="143">
        <f>VLOOKUP(A11,'ESSA Title III-ELL '!$A$12:$G$196,7,FALSE)</f>
        <v>0</v>
      </c>
      <c r="H11" s="143">
        <v>0</v>
      </c>
      <c r="I11" s="143">
        <f>VLOOKUP(A11,'Title IV'!$A$12:$G$194,7,FALSE)</f>
        <v>0</v>
      </c>
      <c r="J11" s="143">
        <f>VLOOKUP(A11,'ESSA Title V-B'!$A$12:$G$38,7,FALSE)</f>
        <v>0</v>
      </c>
    </row>
    <row r="12" spans="1:10" ht="18.75" x14ac:dyDescent="0.3">
      <c r="A12" s="262" t="s">
        <v>15</v>
      </c>
      <c r="B12" s="62" t="s">
        <v>193</v>
      </c>
      <c r="C12" s="143">
        <f>VLOOKUP(A12,'ESSA Title I-A Formula'!A20:G202,7,FALSE)</f>
        <v>0</v>
      </c>
      <c r="D12" s="61">
        <f>IFERROR(VLOOKUP(A12,'ESSA Title I-Delinquent'!$A$12:$G$23,5,FALSE),0)</f>
        <v>0</v>
      </c>
      <c r="E12" s="143">
        <v>0</v>
      </c>
      <c r="F12" s="143">
        <f>VLOOKUP(A12,'ESSA Title II-A Formula'!A20:G202,7,FALSE)</f>
        <v>0</v>
      </c>
      <c r="G12" s="143">
        <f>VLOOKUP(A12,'ESSA Title III-ELL '!$A$12:$G$196,7,FALSE)</f>
        <v>0</v>
      </c>
      <c r="H12" s="143">
        <v>0</v>
      </c>
      <c r="I12" s="143">
        <f>VLOOKUP(A12,'Title IV'!$A$12:$G$194,7,FALSE)</f>
        <v>0</v>
      </c>
      <c r="J12" s="143">
        <v>0</v>
      </c>
    </row>
    <row r="13" spans="1:10" ht="18.75" x14ac:dyDescent="0.3">
      <c r="A13" s="262" t="s">
        <v>16</v>
      </c>
      <c r="B13" s="62" t="s">
        <v>194</v>
      </c>
      <c r="C13" s="143">
        <f>VLOOKUP(A13,'ESSA Title I-A Formula'!A21:G203,7,FALSE)</f>
        <v>0</v>
      </c>
      <c r="D13" s="61">
        <f>IFERROR(VLOOKUP(A13,'ESSA Title I-Delinquent'!$A$12:$G$23,5,FALSE),0)</f>
        <v>0</v>
      </c>
      <c r="E13" s="143">
        <v>0</v>
      </c>
      <c r="F13" s="143">
        <f>VLOOKUP(A13,'ESSA Title II-A Formula'!A21:G203,7,FALSE)</f>
        <v>0</v>
      </c>
      <c r="G13" s="143">
        <f>VLOOKUP(A13,'ESSA Title III-ELL '!$A$12:$G$196,7,FALSE)</f>
        <v>0</v>
      </c>
      <c r="H13" s="143">
        <v>0</v>
      </c>
      <c r="I13" s="143">
        <f>VLOOKUP(A13,'Title IV'!$A$12:$G$194,7,FALSE)</f>
        <v>0</v>
      </c>
      <c r="J13" s="143">
        <v>0</v>
      </c>
    </row>
    <row r="14" spans="1:10" ht="18.75" x14ac:dyDescent="0.3">
      <c r="A14" s="262" t="s">
        <v>17</v>
      </c>
      <c r="B14" s="62" t="s">
        <v>195</v>
      </c>
      <c r="C14" s="143">
        <f>VLOOKUP(A14,'ESSA Title I-A Formula'!A22:G204,7,FALSE)</f>
        <v>0</v>
      </c>
      <c r="D14" s="61">
        <f>IFERROR(VLOOKUP(A14,'ESSA Title I-Delinquent'!$A$12:$G$23,5,FALSE),0)</f>
        <v>0</v>
      </c>
      <c r="E14" s="143">
        <v>0</v>
      </c>
      <c r="F14" s="143">
        <f>VLOOKUP(A14,'ESSA Title II-A Formula'!A22:G204,7,FALSE)</f>
        <v>0</v>
      </c>
      <c r="G14" s="143">
        <f>VLOOKUP(A14,'ESSA Title III-ELL '!$A$12:$G$196,7,FALSE)</f>
        <v>0</v>
      </c>
      <c r="H14" s="143">
        <v>0</v>
      </c>
      <c r="I14" s="143">
        <f>VLOOKUP(A14,'Title IV'!$A$12:$G$194,7,FALSE)</f>
        <v>0</v>
      </c>
      <c r="J14" s="143">
        <v>0</v>
      </c>
    </row>
    <row r="15" spans="1:10" ht="18.75" x14ac:dyDescent="0.3">
      <c r="A15" s="262" t="s">
        <v>18</v>
      </c>
      <c r="B15" s="62" t="s">
        <v>196</v>
      </c>
      <c r="C15" s="143">
        <f>VLOOKUP(A15,'ESSA Title I-A Formula'!A23:G205,7,FALSE)</f>
        <v>0</v>
      </c>
      <c r="D15" s="61">
        <f>IFERROR(VLOOKUP(A15,'ESSA Title I-Delinquent'!$A$12:$G$23,5,FALSE),0)</f>
        <v>0</v>
      </c>
      <c r="E15" s="143">
        <v>0</v>
      </c>
      <c r="F15" s="143">
        <f>VLOOKUP(A15,'ESSA Title II-A Formula'!A23:G205,7,FALSE)</f>
        <v>0</v>
      </c>
      <c r="G15" s="143">
        <f>VLOOKUP(A15,'ESSA Title III-ELL '!$A$12:$G$196,7,FALSE)</f>
        <v>0</v>
      </c>
      <c r="H15" s="143">
        <f>VLOOKUP(A15,'ESSA Title III SAI'!$A$12:$G$48,7,FALSE)</f>
        <v>0</v>
      </c>
      <c r="I15" s="143">
        <f>VLOOKUP(A15,'Title IV'!$A$12:$G$194,7,FALSE)</f>
        <v>0</v>
      </c>
      <c r="J15" s="143">
        <v>0</v>
      </c>
    </row>
    <row r="16" spans="1:10" ht="18.75" x14ac:dyDescent="0.3">
      <c r="A16" s="262" t="s">
        <v>19</v>
      </c>
      <c r="B16" s="62" t="s">
        <v>197</v>
      </c>
      <c r="C16" s="143">
        <f>VLOOKUP(A16,'ESSA Title I-A Formula'!A24:G206,7,FALSE)</f>
        <v>0</v>
      </c>
      <c r="D16" s="61">
        <f>IFERROR(VLOOKUP(A16,'ESSA Title I-Delinquent'!$A$12:$G$23,5,FALSE),0)</f>
        <v>0</v>
      </c>
      <c r="E16" s="143">
        <v>0</v>
      </c>
      <c r="F16" s="143">
        <f>VLOOKUP(A16,'ESSA Title II-A Formula'!A24:G206,7,FALSE)</f>
        <v>0</v>
      </c>
      <c r="G16" s="143">
        <f>VLOOKUP(A16,'ESSA Title III-ELL '!$A$12:$G$196,7,FALSE)</f>
        <v>0</v>
      </c>
      <c r="H16" s="143">
        <v>0</v>
      </c>
      <c r="I16" s="143">
        <f>VLOOKUP(A16,'Title IV'!$A$12:$G$194,7,FALSE)</f>
        <v>0</v>
      </c>
      <c r="J16" s="143">
        <v>0</v>
      </c>
    </row>
    <row r="17" spans="1:10" ht="18.75" x14ac:dyDescent="0.3">
      <c r="A17" s="262" t="s">
        <v>20</v>
      </c>
      <c r="B17" s="62" t="s">
        <v>198</v>
      </c>
      <c r="C17" s="143">
        <f>VLOOKUP(A17,'ESSA Title I-A Formula'!A25:G207,7,FALSE)</f>
        <v>0</v>
      </c>
      <c r="D17" s="61">
        <f>IFERROR(VLOOKUP(A17,'ESSA Title I-Delinquent'!$A$12:$G$23,5,FALSE),0)</f>
        <v>0</v>
      </c>
      <c r="E17" s="143">
        <v>0</v>
      </c>
      <c r="F17" s="143">
        <f>VLOOKUP(A17,'ESSA Title II-A Formula'!A25:G207,7,FALSE)</f>
        <v>0</v>
      </c>
      <c r="G17" s="143">
        <f>VLOOKUP(A17,'ESSA Title III-ELL '!$A$12:$G$196,7,FALSE)</f>
        <v>0</v>
      </c>
      <c r="H17" s="143">
        <v>0</v>
      </c>
      <c r="I17" s="143">
        <f>VLOOKUP(A17,'Title IV'!$A$12:$G$194,7,FALSE)</f>
        <v>0</v>
      </c>
      <c r="J17" s="143">
        <v>0</v>
      </c>
    </row>
    <row r="18" spans="1:10" ht="18.75" x14ac:dyDescent="0.3">
      <c r="A18" s="262" t="s">
        <v>21</v>
      </c>
      <c r="B18" s="62" t="s">
        <v>199</v>
      </c>
      <c r="C18" s="143">
        <f>VLOOKUP(A18,'ESSA Title I-A Formula'!A26:G208,7,FALSE)</f>
        <v>0</v>
      </c>
      <c r="D18" s="61">
        <f>VLOOKUP(A18,'ESSA Title I-Delinquent'!$A$12:$G$23,7,FALSE)</f>
        <v>0</v>
      </c>
      <c r="E18" s="143">
        <v>0</v>
      </c>
      <c r="F18" s="143">
        <f>VLOOKUP(A18,'ESSA Title II-A Formula'!A26:G208,7,FALSE)</f>
        <v>0</v>
      </c>
      <c r="G18" s="143">
        <f>VLOOKUP(A18,'ESSA Title III-ELL '!$A$12:$G$196,7,FALSE)</f>
        <v>0</v>
      </c>
      <c r="H18" s="143">
        <f>VLOOKUP(A18,'ESSA Title III SAI'!$A$12:$G$48,7,FALSE)</f>
        <v>0</v>
      </c>
      <c r="I18" s="143">
        <f>VLOOKUP(A18,'Title IV'!$A$12:$G$194,7,FALSE)</f>
        <v>0</v>
      </c>
      <c r="J18" s="143">
        <v>0</v>
      </c>
    </row>
    <row r="19" spans="1:10" ht="18.75" x14ac:dyDescent="0.3">
      <c r="A19" s="262" t="s">
        <v>22</v>
      </c>
      <c r="B19" s="62" t="s">
        <v>200</v>
      </c>
      <c r="C19" s="143">
        <f>VLOOKUP(A19,'ESSA Title I-A Formula'!A27:G209,7,FALSE)</f>
        <v>0</v>
      </c>
      <c r="D19" s="61">
        <f>IFERROR(VLOOKUP(A19,'ESSA Title I-Delinquent'!$A$12:$G$23,5,FALSE),0)</f>
        <v>0</v>
      </c>
      <c r="E19" s="143">
        <v>0</v>
      </c>
      <c r="F19" s="143">
        <f>VLOOKUP(A19,'ESSA Title II-A Formula'!A27:G209,7,FALSE)</f>
        <v>0</v>
      </c>
      <c r="G19" s="143">
        <f>VLOOKUP(A19,'ESSA Title III-ELL '!$A$12:$G$196,7,FALSE)</f>
        <v>0</v>
      </c>
      <c r="H19" s="143">
        <f>VLOOKUP(A19,'ESSA Title III SAI'!$A$12:$G$48,7,FALSE)</f>
        <v>0</v>
      </c>
      <c r="I19" s="143">
        <f>VLOOKUP(A19,'Title IV'!$A$12:$G$194,7,FALSE)</f>
        <v>0</v>
      </c>
      <c r="J19" s="143">
        <v>0</v>
      </c>
    </row>
    <row r="20" spans="1:10" ht="18.75" x14ac:dyDescent="0.3">
      <c r="A20" s="262" t="s">
        <v>23</v>
      </c>
      <c r="B20" s="62" t="s">
        <v>201</v>
      </c>
      <c r="C20" s="143">
        <f>VLOOKUP(A20,'ESSA Title I-A Formula'!A28:G210,7,FALSE)</f>
        <v>0</v>
      </c>
      <c r="D20" s="61">
        <f>IFERROR(VLOOKUP(A20,'ESSA Title I-Delinquent'!$A$12:$G$23,5,FALSE),0)</f>
        <v>0</v>
      </c>
      <c r="E20" s="143">
        <v>0</v>
      </c>
      <c r="F20" s="143">
        <f>VLOOKUP(A20,'ESSA Title II-A Formula'!A28:G210,7,FALSE)</f>
        <v>0</v>
      </c>
      <c r="G20" s="143">
        <f>VLOOKUP(A20,'ESSA Title III-ELL '!$A$12:$G$196,7,FALSE)</f>
        <v>0</v>
      </c>
      <c r="H20" s="143">
        <v>0</v>
      </c>
      <c r="I20" s="143">
        <f>VLOOKUP(A20,'Title IV'!$A$12:$G$194,7,FALSE)</f>
        <v>0</v>
      </c>
      <c r="J20" s="143">
        <f>VLOOKUP(A20,'ESSA Title V-B'!$A$12:$G$38,7,FALSE)</f>
        <v>0</v>
      </c>
    </row>
    <row r="21" spans="1:10" ht="18.75" x14ac:dyDescent="0.3">
      <c r="A21" s="262" t="s">
        <v>24</v>
      </c>
      <c r="B21" s="62" t="s">
        <v>202</v>
      </c>
      <c r="C21" s="143">
        <f>VLOOKUP(A21,'ESSA Title I-A Formula'!A29:G211,7,FALSE)</f>
        <v>0</v>
      </c>
      <c r="D21" s="61">
        <f>IFERROR(VLOOKUP(A21,'ESSA Title I-Delinquent'!$A$12:$G$23,5,FALSE),0)</f>
        <v>0</v>
      </c>
      <c r="E21" s="143">
        <v>0</v>
      </c>
      <c r="F21" s="143">
        <f>VLOOKUP(A21,'ESSA Title II-A Formula'!A29:G211,7,FALSE)</f>
        <v>0</v>
      </c>
      <c r="G21" s="143">
        <f>VLOOKUP(A21,'ESSA Title III-ELL '!$A$12:$G$196,7,FALSE)</f>
        <v>0</v>
      </c>
      <c r="H21" s="143">
        <f>VLOOKUP(A21,'ESSA Title III SAI'!$A$12:$G$48,7,FALSE)</f>
        <v>0</v>
      </c>
      <c r="I21" s="143">
        <f>VLOOKUP(A21,'Title IV'!$A$12:$G$194,7,FALSE)</f>
        <v>0</v>
      </c>
      <c r="J21" s="143">
        <v>0</v>
      </c>
    </row>
    <row r="22" spans="1:10" ht="18.75" x14ac:dyDescent="0.3">
      <c r="A22" s="262" t="s">
        <v>25</v>
      </c>
      <c r="B22" s="62" t="s">
        <v>203</v>
      </c>
      <c r="C22" s="143">
        <f>VLOOKUP(A22,'ESSA Title I-A Formula'!A30:G212,7,FALSE)</f>
        <v>0</v>
      </c>
      <c r="D22" s="61">
        <f>IFERROR(VLOOKUP(A22,'ESSA Title I-Delinquent'!$A$12:$G$23,5,FALSE),0)</f>
        <v>0</v>
      </c>
      <c r="E22" s="143">
        <v>0</v>
      </c>
      <c r="F22" s="143">
        <f>VLOOKUP(A22,'ESSA Title II-A Formula'!A30:G212,7,FALSE)</f>
        <v>0</v>
      </c>
      <c r="G22" s="143">
        <f>VLOOKUP(A22,'ESSA Title III-ELL '!$A$12:$G$196,7,FALSE)</f>
        <v>0</v>
      </c>
      <c r="H22" s="143">
        <v>0</v>
      </c>
      <c r="I22" s="143">
        <f>VLOOKUP(A22,'Title IV'!$A$12:$G$194,7,FALSE)</f>
        <v>0</v>
      </c>
      <c r="J22" s="143">
        <v>0</v>
      </c>
    </row>
    <row r="23" spans="1:10" ht="18.75" x14ac:dyDescent="0.3">
      <c r="A23" s="262" t="s">
        <v>26</v>
      </c>
      <c r="B23" s="62" t="s">
        <v>204</v>
      </c>
      <c r="C23" s="143">
        <f>VLOOKUP(A23,'ESSA Title I-A Formula'!A31:G213,7,FALSE)</f>
        <v>0</v>
      </c>
      <c r="D23" s="61">
        <f>IFERROR(VLOOKUP(A23,'ESSA Title I-Delinquent'!$A$12:$G$23,5,FALSE),0)</f>
        <v>0</v>
      </c>
      <c r="E23" s="143">
        <v>0</v>
      </c>
      <c r="F23" s="143">
        <f>VLOOKUP(A23,'ESSA Title II-A Formula'!A31:G213,7,FALSE)</f>
        <v>0</v>
      </c>
      <c r="G23" s="143">
        <f>VLOOKUP(A23,'ESSA Title III-ELL '!$A$12:$G$196,7,FALSE)</f>
        <v>0</v>
      </c>
      <c r="H23" s="143">
        <v>0</v>
      </c>
      <c r="I23" s="143">
        <f>VLOOKUP(A23,'Title IV'!$A$12:$G$194,7,FALSE)</f>
        <v>0</v>
      </c>
      <c r="J23" s="143">
        <v>0</v>
      </c>
    </row>
    <row r="24" spans="1:10" ht="18.75" x14ac:dyDescent="0.3">
      <c r="A24" s="262" t="s">
        <v>27</v>
      </c>
      <c r="B24" s="62" t="s">
        <v>205</v>
      </c>
      <c r="C24" s="143">
        <f>VLOOKUP(A24,'ESSA Title I-A Formula'!A32:G214,7,FALSE)</f>
        <v>0</v>
      </c>
      <c r="D24" s="61">
        <f>IFERROR(VLOOKUP(A24,'ESSA Title I-Delinquent'!$A$12:$G$23,5,FALSE),0)</f>
        <v>0</v>
      </c>
      <c r="E24" s="143">
        <v>0</v>
      </c>
      <c r="F24" s="143">
        <f>VLOOKUP(A24,'ESSA Title II-A Formula'!A32:G214,7,FALSE)</f>
        <v>0</v>
      </c>
      <c r="G24" s="143">
        <f>VLOOKUP(A24,'ESSA Title III-ELL '!$A$12:$G$196,7,FALSE)</f>
        <v>0</v>
      </c>
      <c r="H24" s="143">
        <f>VLOOKUP(A24,'ESSA Title III SAI'!$A$12:$G$48,7,FALSE)</f>
        <v>0</v>
      </c>
      <c r="I24" s="143">
        <f>VLOOKUP(A24,'Title IV'!$A$12:$G$194,7,FALSE)</f>
        <v>0</v>
      </c>
      <c r="J24" s="143">
        <v>0</v>
      </c>
    </row>
    <row r="25" spans="1:10" ht="18.75" x14ac:dyDescent="0.3">
      <c r="A25" s="262" t="s">
        <v>28</v>
      </c>
      <c r="B25" s="62" t="s">
        <v>206</v>
      </c>
      <c r="C25" s="143">
        <f>VLOOKUP(A25,'ESSA Title I-A Formula'!A33:G215,7,FALSE)</f>
        <v>0</v>
      </c>
      <c r="D25" s="61">
        <f>IFERROR(VLOOKUP(A25,'ESSA Title I-Delinquent'!$A$12:$G$23,5,FALSE),0)</f>
        <v>0</v>
      </c>
      <c r="E25" s="143">
        <v>0</v>
      </c>
      <c r="F25" s="143">
        <f>VLOOKUP(A25,'ESSA Title II-A Formula'!A33:G215,7,FALSE)</f>
        <v>0</v>
      </c>
      <c r="G25" s="143">
        <f>VLOOKUP(A25,'ESSA Title III-ELL '!$A$12:$G$196,7,FALSE)</f>
        <v>0</v>
      </c>
      <c r="H25" s="143">
        <v>0</v>
      </c>
      <c r="I25" s="143">
        <f>VLOOKUP(A25,'Title IV'!$A$12:$G$194,7,FALSE)</f>
        <v>0</v>
      </c>
      <c r="J25" s="143">
        <v>0</v>
      </c>
    </row>
    <row r="26" spans="1:10" ht="18.75" x14ac:dyDescent="0.3">
      <c r="A26" s="262" t="s">
        <v>29</v>
      </c>
      <c r="B26" s="62" t="s">
        <v>207</v>
      </c>
      <c r="C26" s="143">
        <f>VLOOKUP(A26,'ESSA Title I-A Formula'!A34:G216,7,FALSE)</f>
        <v>0</v>
      </c>
      <c r="D26" s="61">
        <f>IFERROR(VLOOKUP(A26,'ESSA Title I-Delinquent'!$A$12:$G$23,5,FALSE),0)</f>
        <v>0</v>
      </c>
      <c r="E26" s="143">
        <v>0</v>
      </c>
      <c r="F26" s="143">
        <f>VLOOKUP(A26,'ESSA Title II-A Formula'!A34:G216,7,FALSE)</f>
        <v>0</v>
      </c>
      <c r="G26" s="143">
        <f>VLOOKUP(A26,'ESSA Title III-ELL '!$A$12:$G$196,7,FALSE)</f>
        <v>0</v>
      </c>
      <c r="H26" s="143">
        <v>0</v>
      </c>
      <c r="I26" s="143">
        <f>VLOOKUP(A26,'Title IV'!$A$12:$G$194,7,FALSE)</f>
        <v>0</v>
      </c>
      <c r="J26" s="143">
        <f>VLOOKUP(A26,'ESSA Title V-B'!$A$12:$G$38,7,FALSE)</f>
        <v>0</v>
      </c>
    </row>
    <row r="27" spans="1:10" ht="18.75" x14ac:dyDescent="0.3">
      <c r="A27" s="262" t="s">
        <v>30</v>
      </c>
      <c r="B27" s="62" t="s">
        <v>208</v>
      </c>
      <c r="C27" s="143">
        <f>VLOOKUP(A27,'ESSA Title I-A Formula'!A35:G217,7,FALSE)</f>
        <v>0</v>
      </c>
      <c r="D27" s="61">
        <f>IFERROR(VLOOKUP(A27,'ESSA Title I-Delinquent'!$A$12:$G$23,5,FALSE),0)</f>
        <v>0</v>
      </c>
      <c r="E27" s="143">
        <v>0</v>
      </c>
      <c r="F27" s="143">
        <f>VLOOKUP(A27,'ESSA Title II-A Formula'!A35:G217,7,FALSE)</f>
        <v>0</v>
      </c>
      <c r="G27" s="143">
        <f>VLOOKUP(A27,'ESSA Title III-ELL '!$A$12:$G$196,7,FALSE)</f>
        <v>0</v>
      </c>
      <c r="H27" s="143">
        <v>0</v>
      </c>
      <c r="I27" s="143">
        <f>VLOOKUP(A27,'Title IV'!$A$12:$G$194,7,FALSE)</f>
        <v>0</v>
      </c>
      <c r="J27" s="143">
        <v>0</v>
      </c>
    </row>
    <row r="28" spans="1:10" ht="18.75" x14ac:dyDescent="0.3">
      <c r="A28" s="262" t="s">
        <v>31</v>
      </c>
      <c r="B28" s="62" t="s">
        <v>209</v>
      </c>
      <c r="C28" s="143">
        <f>VLOOKUP(A28,'ESSA Title I-A Formula'!A36:G218,7,FALSE)</f>
        <v>0</v>
      </c>
      <c r="D28" s="61">
        <f>IFERROR(VLOOKUP(A28,'ESSA Title I-Delinquent'!$A$12:$G$23,5,FALSE),0)</f>
        <v>0</v>
      </c>
      <c r="E28" s="143">
        <v>0</v>
      </c>
      <c r="F28" s="143">
        <f>VLOOKUP(A28,'ESSA Title II-A Formula'!A36:G218,7,FALSE)</f>
        <v>0</v>
      </c>
      <c r="G28" s="143">
        <f>VLOOKUP(A28,'ESSA Title III-ELL '!$A$12:$G$196,7,FALSE)</f>
        <v>0</v>
      </c>
      <c r="H28" s="143">
        <v>0</v>
      </c>
      <c r="I28" s="143">
        <f>VLOOKUP(A28,'Title IV'!$A$12:$G$194,7,FALSE)</f>
        <v>0</v>
      </c>
      <c r="J28" s="143">
        <v>0</v>
      </c>
    </row>
    <row r="29" spans="1:10" ht="18.75" x14ac:dyDescent="0.3">
      <c r="A29" s="262" t="s">
        <v>32</v>
      </c>
      <c r="B29" s="62" t="s">
        <v>210</v>
      </c>
      <c r="C29" s="143">
        <f>VLOOKUP(A29,'ESSA Title I-A Formula'!A37:G219,7,FALSE)</f>
        <v>0</v>
      </c>
      <c r="D29" s="61">
        <f>IFERROR(VLOOKUP(A29,'ESSA Title I-Delinquent'!$A$12:$G$23,5,FALSE),0)</f>
        <v>0</v>
      </c>
      <c r="E29" s="143">
        <v>0</v>
      </c>
      <c r="F29" s="143">
        <f>VLOOKUP(A29,'ESSA Title II-A Formula'!A37:G219,7,FALSE)</f>
        <v>0</v>
      </c>
      <c r="G29" s="143">
        <f>VLOOKUP(A29,'ESSA Title III-ELL '!$A$12:$G$196,7,FALSE)</f>
        <v>0</v>
      </c>
      <c r="H29" s="143">
        <v>0</v>
      </c>
      <c r="I29" s="143">
        <f>VLOOKUP(A29,'Title IV'!$A$12:$G$194,7,FALSE)</f>
        <v>0</v>
      </c>
      <c r="J29" s="143">
        <v>0</v>
      </c>
    </row>
    <row r="30" spans="1:10" ht="18.75" x14ac:dyDescent="0.3">
      <c r="A30" s="262" t="s">
        <v>33</v>
      </c>
      <c r="B30" s="62" t="s">
        <v>211</v>
      </c>
      <c r="C30" s="143">
        <f>VLOOKUP(A30,'ESSA Title I-A Formula'!A38:G220,7,FALSE)</f>
        <v>0</v>
      </c>
      <c r="D30" s="61">
        <f>IFERROR(VLOOKUP(A30,'ESSA Title I-Delinquent'!$A$12:$G$23,5,FALSE),0)</f>
        <v>0</v>
      </c>
      <c r="E30" s="143">
        <v>0</v>
      </c>
      <c r="F30" s="143">
        <f>VLOOKUP(A30,'ESSA Title II-A Formula'!A38:G220,7,FALSE)</f>
        <v>0</v>
      </c>
      <c r="G30" s="143">
        <f>VLOOKUP(A30,'ESSA Title III-ELL '!$A$12:$G$196,7,FALSE)</f>
        <v>0</v>
      </c>
      <c r="H30" s="143">
        <v>0</v>
      </c>
      <c r="I30" s="143">
        <f>VLOOKUP(A30,'Title IV'!$A$12:$G$194,7,FALSE)</f>
        <v>0</v>
      </c>
      <c r="J30" s="143">
        <v>0</v>
      </c>
    </row>
    <row r="31" spans="1:10" ht="18.75" x14ac:dyDescent="0.3">
      <c r="A31" s="262" t="s">
        <v>34</v>
      </c>
      <c r="B31" s="62" t="s">
        <v>212</v>
      </c>
      <c r="C31" s="143">
        <f>VLOOKUP(A31,'ESSA Title I-A Formula'!A39:G221,7,FALSE)</f>
        <v>0</v>
      </c>
      <c r="D31" s="61">
        <f>IFERROR(VLOOKUP(A31,'ESSA Title I-Delinquent'!$A$12:$G$23,5,FALSE),0)</f>
        <v>0</v>
      </c>
      <c r="E31" s="143">
        <v>0</v>
      </c>
      <c r="F31" s="143">
        <f>VLOOKUP(A31,'ESSA Title II-A Formula'!A39:G221,7,FALSE)</f>
        <v>0</v>
      </c>
      <c r="G31" s="143">
        <f>VLOOKUP(A31,'ESSA Title III-ELL '!$A$12:$G$196,7,FALSE)</f>
        <v>0</v>
      </c>
      <c r="H31" s="143">
        <v>0</v>
      </c>
      <c r="I31" s="143">
        <f>VLOOKUP(A31,'Title IV'!$A$12:$G$194,7,FALSE)</f>
        <v>0</v>
      </c>
      <c r="J31" s="143">
        <v>0</v>
      </c>
    </row>
    <row r="32" spans="1:10" ht="18.75" x14ac:dyDescent="0.3">
      <c r="A32" s="262" t="s">
        <v>35</v>
      </c>
      <c r="B32" s="62" t="s">
        <v>213</v>
      </c>
      <c r="C32" s="143">
        <f>VLOOKUP(A32,'ESSA Title I-A Formula'!A40:G222,7,FALSE)</f>
        <v>0</v>
      </c>
      <c r="D32" s="61">
        <f>IFERROR(VLOOKUP(A32,'ESSA Title I-Delinquent'!$A$12:$G$23,5,FALSE),0)</f>
        <v>0</v>
      </c>
      <c r="E32" s="143">
        <v>0</v>
      </c>
      <c r="F32" s="143">
        <f>VLOOKUP(A32,'ESSA Title II-A Formula'!A40:G222,7,FALSE)</f>
        <v>0</v>
      </c>
      <c r="G32" s="143">
        <f>VLOOKUP(A32,'ESSA Title III-ELL '!$A$12:$G$196,7,FALSE)</f>
        <v>0</v>
      </c>
      <c r="H32" s="143">
        <v>0</v>
      </c>
      <c r="I32" s="143">
        <f>VLOOKUP(A32,'Title IV'!$A$12:$G$194,7,FALSE)</f>
        <v>0</v>
      </c>
      <c r="J32" s="143">
        <v>0</v>
      </c>
    </row>
    <row r="33" spans="1:10" ht="18.75" x14ac:dyDescent="0.3">
      <c r="A33" s="262" t="s">
        <v>36</v>
      </c>
      <c r="B33" s="62" t="s">
        <v>214</v>
      </c>
      <c r="C33" s="143">
        <f>VLOOKUP(A33,'ESSA Title I-A Formula'!A41:G223,7,FALSE)</f>
        <v>0</v>
      </c>
      <c r="D33" s="61">
        <f>IFERROR(VLOOKUP(A33,'ESSA Title I-Delinquent'!$A$12:$G$23,5,FALSE),0)</f>
        <v>0</v>
      </c>
      <c r="E33" s="143">
        <v>0</v>
      </c>
      <c r="F33" s="143">
        <f>VLOOKUP(A33,'ESSA Title II-A Formula'!A41:G223,7,FALSE)</f>
        <v>0</v>
      </c>
      <c r="G33" s="143">
        <f>VLOOKUP(A33,'ESSA Title III-ELL '!$A$12:$G$196,7,FALSE)</f>
        <v>0</v>
      </c>
      <c r="H33" s="143">
        <v>0</v>
      </c>
      <c r="I33" s="143">
        <f>VLOOKUP(A33,'Title IV'!$A$12:$G$194,7,FALSE)</f>
        <v>0</v>
      </c>
      <c r="J33" s="143">
        <v>0</v>
      </c>
    </row>
    <row r="34" spans="1:10" ht="18.75" x14ac:dyDescent="0.3">
      <c r="A34" s="262" t="s">
        <v>37</v>
      </c>
      <c r="B34" s="62" t="s">
        <v>215</v>
      </c>
      <c r="C34" s="143">
        <f>VLOOKUP(A34,'ESSA Title I-A Formula'!A42:G224,7,FALSE)</f>
        <v>0</v>
      </c>
      <c r="D34" s="61">
        <f>IFERROR(VLOOKUP(A34,'ESSA Title I-Delinquent'!$A$12:$G$23,5,FALSE),0)</f>
        <v>0</v>
      </c>
      <c r="E34" s="143">
        <v>0</v>
      </c>
      <c r="F34" s="143">
        <f>VLOOKUP(A34,'ESSA Title II-A Formula'!A42:G224,7,FALSE)</f>
        <v>0</v>
      </c>
      <c r="G34" s="143">
        <f>VLOOKUP(A34,'ESSA Title III-ELL '!$A$12:$G$196,7,FALSE)</f>
        <v>0</v>
      </c>
      <c r="H34" s="143">
        <v>0</v>
      </c>
      <c r="I34" s="143">
        <f>VLOOKUP(A34,'Title IV'!$A$12:$G$194,7,FALSE)</f>
        <v>0</v>
      </c>
      <c r="J34" s="143">
        <v>0</v>
      </c>
    </row>
    <row r="35" spans="1:10" ht="18.75" x14ac:dyDescent="0.3">
      <c r="A35" s="262" t="s">
        <v>38</v>
      </c>
      <c r="B35" s="62" t="s">
        <v>216</v>
      </c>
      <c r="C35" s="143">
        <f>VLOOKUP(A35,'ESSA Title I-A Formula'!A43:G225,7,FALSE)</f>
        <v>0</v>
      </c>
      <c r="D35" s="61">
        <f>IFERROR(VLOOKUP(A35,'ESSA Title I-Delinquent'!$A$12:$G$23,5,FALSE),0)</f>
        <v>0</v>
      </c>
      <c r="E35" s="143">
        <v>0</v>
      </c>
      <c r="F35" s="143">
        <f>VLOOKUP(A35,'ESSA Title II-A Formula'!A43:G225,7,FALSE)</f>
        <v>0</v>
      </c>
      <c r="G35" s="143">
        <f>VLOOKUP(A35,'ESSA Title III-ELL '!$A$12:$G$196,7,FALSE)</f>
        <v>0</v>
      </c>
      <c r="H35" s="143">
        <v>0</v>
      </c>
      <c r="I35" s="143">
        <f>VLOOKUP(A35,'Title IV'!$A$12:$G$194,7,FALSE)</f>
        <v>0</v>
      </c>
      <c r="J35" s="143">
        <f>VLOOKUP(A35,'ESSA Title V-B'!$A$12:$G$38,7,FALSE)</f>
        <v>0</v>
      </c>
    </row>
    <row r="36" spans="1:10" ht="18.75" x14ac:dyDescent="0.3">
      <c r="A36" s="262" t="s">
        <v>39</v>
      </c>
      <c r="B36" s="62" t="s">
        <v>217</v>
      </c>
      <c r="C36" s="143">
        <f>VLOOKUP(A36,'ESSA Title I-A Formula'!A44:G226,7,FALSE)</f>
        <v>0</v>
      </c>
      <c r="D36" s="61">
        <f>IFERROR(VLOOKUP(A36,'ESSA Title I-Delinquent'!$A$12:$G$23,5,FALSE),0)</f>
        <v>0</v>
      </c>
      <c r="E36" s="143">
        <v>0</v>
      </c>
      <c r="F36" s="143">
        <f>VLOOKUP(A36,'ESSA Title II-A Formula'!A44:G226,7,FALSE)</f>
        <v>0</v>
      </c>
      <c r="G36" s="143">
        <f>VLOOKUP(A36,'ESSA Title III-ELL '!$A$12:$G$196,7,FALSE)</f>
        <v>0</v>
      </c>
      <c r="H36" s="143">
        <v>0</v>
      </c>
      <c r="I36" s="143">
        <f>VLOOKUP(A36,'Title IV'!$A$12:$G$194,7,FALSE)</f>
        <v>0</v>
      </c>
      <c r="J36" s="143">
        <v>0</v>
      </c>
    </row>
    <row r="37" spans="1:10" ht="18.75" x14ac:dyDescent="0.3">
      <c r="A37" s="262" t="s">
        <v>40</v>
      </c>
      <c r="B37" s="62" t="s">
        <v>218</v>
      </c>
      <c r="C37" s="143">
        <f>VLOOKUP(A37,'ESSA Title I-A Formula'!A45:G227,7,FALSE)</f>
        <v>0</v>
      </c>
      <c r="D37" s="61">
        <f>IFERROR(VLOOKUP(A37,'ESSA Title I-Delinquent'!$A$12:$G$23,5,FALSE),0)</f>
        <v>0</v>
      </c>
      <c r="E37" s="143">
        <v>0</v>
      </c>
      <c r="F37" s="143">
        <f>VLOOKUP(A37,'ESSA Title II-A Formula'!A45:G227,7,FALSE)</f>
        <v>0</v>
      </c>
      <c r="G37" s="143">
        <f>VLOOKUP(A37,'ESSA Title III-ELL '!$A$12:$G$196,7,FALSE)</f>
        <v>0</v>
      </c>
      <c r="H37" s="143">
        <v>0</v>
      </c>
      <c r="I37" s="143">
        <f>VLOOKUP(A37,'Title IV'!$A$12:$G$194,7,FALSE)</f>
        <v>0</v>
      </c>
      <c r="J37" s="143">
        <f>VLOOKUP(A37,'ESSA Title V-B'!$A$12:$G$38,7,FALSE)</f>
        <v>0</v>
      </c>
    </row>
    <row r="38" spans="1:10" ht="18.75" x14ac:dyDescent="0.3">
      <c r="A38" s="262" t="s">
        <v>41</v>
      </c>
      <c r="B38" s="62" t="s">
        <v>219</v>
      </c>
      <c r="C38" s="143">
        <f>VLOOKUP(A38,'ESSA Title I-A Formula'!A46:G228,7,FALSE)</f>
        <v>0</v>
      </c>
      <c r="D38" s="61">
        <f>IFERROR(VLOOKUP(A38,'ESSA Title I-Delinquent'!$A$12:$G$23,5,FALSE),0)</f>
        <v>0</v>
      </c>
      <c r="E38" s="143">
        <v>0</v>
      </c>
      <c r="F38" s="143">
        <f>VLOOKUP(A38,'ESSA Title II-A Formula'!A46:G228,7,FALSE)</f>
        <v>0</v>
      </c>
      <c r="G38" s="143">
        <f>VLOOKUP(A38,'ESSA Title III-ELL '!$A$12:$G$196,7,FALSE)</f>
        <v>0</v>
      </c>
      <c r="H38" s="143">
        <v>0</v>
      </c>
      <c r="I38" s="143">
        <f>VLOOKUP(A38,'Title IV'!$A$12:$G$194,7,FALSE)</f>
        <v>0</v>
      </c>
      <c r="J38" s="143">
        <f>VLOOKUP(A38,'ESSA Title V-B'!$A$12:$G$38,7,FALSE)</f>
        <v>0</v>
      </c>
    </row>
    <row r="39" spans="1:10" ht="18.75" x14ac:dyDescent="0.3">
      <c r="A39" s="262" t="s">
        <v>42</v>
      </c>
      <c r="B39" s="62" t="s">
        <v>220</v>
      </c>
      <c r="C39" s="143">
        <f>VLOOKUP(A39,'ESSA Title I-A Formula'!A47:G229,7,FALSE)</f>
        <v>0</v>
      </c>
      <c r="D39" s="61">
        <f>IFERROR(VLOOKUP(A39,'ESSA Title I-Delinquent'!$A$12:$G$23,5,FALSE),0)</f>
        <v>0</v>
      </c>
      <c r="E39" s="143">
        <v>0</v>
      </c>
      <c r="F39" s="143">
        <f>VLOOKUP(A39,'ESSA Title II-A Formula'!A47:G229,7,FALSE)</f>
        <v>0</v>
      </c>
      <c r="G39" s="143">
        <f>VLOOKUP(A39,'ESSA Title III-ELL '!$A$12:$G$196,7,FALSE)</f>
        <v>0</v>
      </c>
      <c r="H39" s="143">
        <v>0</v>
      </c>
      <c r="I39" s="143">
        <f>VLOOKUP(A39,'Title IV'!$A$12:$G$194,7,FALSE)</f>
        <v>0</v>
      </c>
      <c r="J39" s="143">
        <f>VLOOKUP(A39,'ESSA Title V-B'!$A$12:$G$38,7,FALSE)</f>
        <v>0</v>
      </c>
    </row>
    <row r="40" spans="1:10" ht="18.75" x14ac:dyDescent="0.3">
      <c r="A40" s="262" t="s">
        <v>43</v>
      </c>
      <c r="B40" s="62" t="s">
        <v>221</v>
      </c>
      <c r="C40" s="143">
        <f>VLOOKUP(A40,'ESSA Title I-A Formula'!A48:G230,7,FALSE)</f>
        <v>0</v>
      </c>
      <c r="D40" s="61">
        <f>IFERROR(VLOOKUP(A40,'ESSA Title I-Delinquent'!$A$12:$G$23,5,FALSE),0)</f>
        <v>0</v>
      </c>
      <c r="E40" s="143">
        <v>0</v>
      </c>
      <c r="F40" s="143">
        <f>VLOOKUP(A40,'ESSA Title II-A Formula'!A48:G230,7,FALSE)</f>
        <v>0</v>
      </c>
      <c r="G40" s="143">
        <f>VLOOKUP(A40,'ESSA Title III-ELL '!$A$12:$G$196,7,FALSE)</f>
        <v>0</v>
      </c>
      <c r="H40" s="143">
        <v>0</v>
      </c>
      <c r="I40" s="143">
        <f>VLOOKUP(A40,'Title IV'!$A$12:$G$194,7,FALSE)</f>
        <v>0</v>
      </c>
      <c r="J40" s="143">
        <v>0</v>
      </c>
    </row>
    <row r="41" spans="1:10" ht="18.75" x14ac:dyDescent="0.3">
      <c r="A41" s="262" t="s">
        <v>44</v>
      </c>
      <c r="B41" s="62" t="s">
        <v>222</v>
      </c>
      <c r="C41" s="143">
        <f>VLOOKUP(A41,'ESSA Title I-A Formula'!A49:G231,7,FALSE)</f>
        <v>0</v>
      </c>
      <c r="D41" s="61">
        <f>IFERROR(VLOOKUP(A41,'ESSA Title I-Delinquent'!$A$12:$G$23,5,FALSE),0)</f>
        <v>0</v>
      </c>
      <c r="E41" s="143">
        <v>0</v>
      </c>
      <c r="F41" s="143">
        <f>VLOOKUP(A41,'ESSA Title II-A Formula'!A49:G231,7,FALSE)</f>
        <v>0</v>
      </c>
      <c r="G41" s="143">
        <f>VLOOKUP(A41,'ESSA Title III-ELL '!$A$12:$G$196,7,FALSE)</f>
        <v>0</v>
      </c>
      <c r="H41" s="143">
        <v>0</v>
      </c>
      <c r="I41" s="143">
        <f>VLOOKUP(A41,'Title IV'!$A$12:$G$194,7,FALSE)</f>
        <v>0</v>
      </c>
      <c r="J41" s="143">
        <v>0</v>
      </c>
    </row>
    <row r="42" spans="1:10" ht="18.75" x14ac:dyDescent="0.3">
      <c r="A42" s="262" t="s">
        <v>45</v>
      </c>
      <c r="B42" s="62" t="s">
        <v>223</v>
      </c>
      <c r="C42" s="143">
        <f>VLOOKUP(A42,'ESSA Title I-A Formula'!A50:G232,7,FALSE)</f>
        <v>0</v>
      </c>
      <c r="D42" s="61">
        <f>IFERROR(VLOOKUP(A42,'ESSA Title I-Delinquent'!$A$12:$G$23,5,FALSE),0)</f>
        <v>0</v>
      </c>
      <c r="E42" s="143">
        <v>0</v>
      </c>
      <c r="F42" s="143">
        <f>VLOOKUP(A42,'ESSA Title II-A Formula'!A50:G232,7,FALSE)</f>
        <v>0</v>
      </c>
      <c r="G42" s="143">
        <f>VLOOKUP(A42,'ESSA Title III-ELL '!$A$12:$G$196,7,FALSE)</f>
        <v>0</v>
      </c>
      <c r="H42" s="143">
        <v>0</v>
      </c>
      <c r="I42" s="143">
        <f>VLOOKUP(A42,'Title IV'!$A$12:$G$194,7,FALSE)</f>
        <v>0</v>
      </c>
      <c r="J42" s="143">
        <f>VLOOKUP(A42,'ESSA Title V-B'!$A$12:$G$38,7,FALSE)</f>
        <v>0</v>
      </c>
    </row>
    <row r="43" spans="1:10" ht="18.75" x14ac:dyDescent="0.3">
      <c r="A43" s="262" t="s">
        <v>46</v>
      </c>
      <c r="B43" s="62" t="s">
        <v>224</v>
      </c>
      <c r="C43" s="143">
        <f>VLOOKUP(A43,'ESSA Title I-A Formula'!A51:G233,7,FALSE)</f>
        <v>0</v>
      </c>
      <c r="D43" s="61">
        <f>VLOOKUP(A43,'ESSA Title I-Delinquent'!$A$12:$G$23,7,FALSE)</f>
        <v>0</v>
      </c>
      <c r="E43" s="143">
        <v>0</v>
      </c>
      <c r="F43" s="143">
        <f>VLOOKUP(A43,'ESSA Title II-A Formula'!A51:G233,7,FALSE)</f>
        <v>0</v>
      </c>
      <c r="G43" s="143">
        <f>VLOOKUP(A43,'ESSA Title III-ELL '!$A$12:$G$196,7,FALSE)</f>
        <v>0</v>
      </c>
      <c r="H43" s="143">
        <f>VLOOKUP(A43,'ESSA Title III SAI'!$A$12:$G$48,7,FALSE)</f>
        <v>0</v>
      </c>
      <c r="I43" s="143">
        <f>VLOOKUP(A43,'Title IV'!$A$12:$G$194,7,FALSE)</f>
        <v>0</v>
      </c>
      <c r="J43" s="143">
        <v>0</v>
      </c>
    </row>
    <row r="44" spans="1:10" ht="18.75" x14ac:dyDescent="0.3">
      <c r="A44" s="262" t="s">
        <v>47</v>
      </c>
      <c r="B44" s="62" t="s">
        <v>225</v>
      </c>
      <c r="C44" s="143">
        <f>VLOOKUP(A44,'ESSA Title I-A Formula'!A52:G234,7,FALSE)</f>
        <v>0</v>
      </c>
      <c r="D44" s="61">
        <f>IFERROR(VLOOKUP(A44,'ESSA Title I-Delinquent'!$A$12:$G$23,5,FALSE),0)</f>
        <v>0</v>
      </c>
      <c r="E44" s="143">
        <v>0</v>
      </c>
      <c r="F44" s="143">
        <f>VLOOKUP(A44,'ESSA Title II-A Formula'!A52:G234,7,FALSE)</f>
        <v>0</v>
      </c>
      <c r="G44" s="143">
        <f>VLOOKUP(A44,'ESSA Title III-ELL '!$A$12:$G$196,7,FALSE)</f>
        <v>0</v>
      </c>
      <c r="H44" s="143">
        <v>0</v>
      </c>
      <c r="I44" s="143">
        <f>VLOOKUP(A44,'Title IV'!$A$12:$G$194,7,FALSE)</f>
        <v>0</v>
      </c>
      <c r="J44" s="143">
        <v>0</v>
      </c>
    </row>
    <row r="45" spans="1:10" ht="18.75" x14ac:dyDescent="0.3">
      <c r="A45" s="262" t="s">
        <v>48</v>
      </c>
      <c r="B45" s="62" t="s">
        <v>226</v>
      </c>
      <c r="C45" s="143">
        <f>VLOOKUP(A45,'ESSA Title I-A Formula'!A53:G235,7,FALSE)</f>
        <v>0</v>
      </c>
      <c r="D45" s="61">
        <f>IFERROR(VLOOKUP(A45,'ESSA Title I-Delinquent'!$A$12:$G$23,5,FALSE),0)</f>
        <v>0</v>
      </c>
      <c r="E45" s="143">
        <v>0</v>
      </c>
      <c r="F45" s="143">
        <f>VLOOKUP(A45,'ESSA Title II-A Formula'!A53:G235,7,FALSE)</f>
        <v>0</v>
      </c>
      <c r="G45" s="143">
        <f>VLOOKUP(A45,'ESSA Title III-ELL '!$A$12:$G$196,7,FALSE)</f>
        <v>0</v>
      </c>
      <c r="H45" s="143">
        <v>0</v>
      </c>
      <c r="I45" s="143">
        <f>VLOOKUP(A45,'Title IV'!$A$12:$G$194,7,FALSE)</f>
        <v>0</v>
      </c>
      <c r="J45" s="143">
        <v>0</v>
      </c>
    </row>
    <row r="46" spans="1:10" ht="18.75" x14ac:dyDescent="0.3">
      <c r="A46" s="262" t="s">
        <v>49</v>
      </c>
      <c r="B46" s="62" t="s">
        <v>227</v>
      </c>
      <c r="C46" s="143">
        <f>VLOOKUP(A46,'ESSA Title I-A Formula'!A54:G236,7,FALSE)</f>
        <v>0</v>
      </c>
      <c r="D46" s="61">
        <f>IFERROR(VLOOKUP(A46,'ESSA Title I-Delinquent'!$A$12:$G$23,5,FALSE),0)</f>
        <v>0</v>
      </c>
      <c r="E46" s="143">
        <v>0</v>
      </c>
      <c r="F46" s="143">
        <f>VLOOKUP(A46,'ESSA Title II-A Formula'!A54:G236,7,FALSE)</f>
        <v>0</v>
      </c>
      <c r="G46" s="143">
        <f>VLOOKUP(A46,'ESSA Title III-ELL '!$A$12:$G$196,7,FALSE)</f>
        <v>0</v>
      </c>
      <c r="H46" s="143">
        <v>0</v>
      </c>
      <c r="I46" s="143">
        <f>VLOOKUP(A46,'Title IV'!$A$12:$G$194,7,FALSE)</f>
        <v>0</v>
      </c>
      <c r="J46" s="143">
        <v>0</v>
      </c>
    </row>
    <row r="47" spans="1:10" ht="18.75" x14ac:dyDescent="0.3">
      <c r="A47" s="262" t="s">
        <v>50</v>
      </c>
      <c r="B47" s="62" t="s">
        <v>228</v>
      </c>
      <c r="C47" s="143">
        <f>VLOOKUP(A47,'ESSA Title I-A Formula'!A55:G237,7,FALSE)</f>
        <v>0</v>
      </c>
      <c r="D47" s="61">
        <f>IFERROR(VLOOKUP(A47,'ESSA Title I-Delinquent'!$A$12:$G$23,5,FALSE),0)</f>
        <v>0</v>
      </c>
      <c r="E47" s="143">
        <v>0</v>
      </c>
      <c r="F47" s="143">
        <f>VLOOKUP(A47,'ESSA Title II-A Formula'!A55:G237,7,FALSE)</f>
        <v>0</v>
      </c>
      <c r="G47" s="143">
        <f>VLOOKUP(A47,'ESSA Title III-ELL '!$A$12:$G$196,7,FALSE)</f>
        <v>0</v>
      </c>
      <c r="H47" s="143">
        <v>0</v>
      </c>
      <c r="I47" s="143">
        <f>VLOOKUP(A47,'Title IV'!$A$12:$G$194,7,FALSE)</f>
        <v>0</v>
      </c>
      <c r="J47" s="143">
        <v>0</v>
      </c>
    </row>
    <row r="48" spans="1:10" ht="18.75" x14ac:dyDescent="0.3">
      <c r="A48" s="262" t="s">
        <v>51</v>
      </c>
      <c r="B48" s="62" t="s">
        <v>229</v>
      </c>
      <c r="C48" s="143">
        <f>VLOOKUP(A48,'ESSA Title I-A Formula'!A56:G238,7,FALSE)</f>
        <v>0</v>
      </c>
      <c r="D48" s="61">
        <f>IFERROR(VLOOKUP(A48,'ESSA Title I-Delinquent'!$A$12:$G$23,5,FALSE),0)</f>
        <v>0</v>
      </c>
      <c r="E48" s="143">
        <v>0</v>
      </c>
      <c r="F48" s="143">
        <f>VLOOKUP(A48,'ESSA Title II-A Formula'!A56:G238,7,FALSE)</f>
        <v>0</v>
      </c>
      <c r="G48" s="143">
        <f>VLOOKUP(A48,'ESSA Title III-ELL '!$A$12:$G$196,7,FALSE)</f>
        <v>0</v>
      </c>
      <c r="H48" s="143">
        <v>0</v>
      </c>
      <c r="I48" s="143">
        <f>VLOOKUP(A48,'Title IV'!$A$12:$G$194,7,FALSE)</f>
        <v>0</v>
      </c>
      <c r="J48" s="143">
        <v>0</v>
      </c>
    </row>
    <row r="49" spans="1:10" ht="18.75" x14ac:dyDescent="0.3">
      <c r="A49" s="262" t="s">
        <v>52</v>
      </c>
      <c r="B49" s="62" t="s">
        <v>230</v>
      </c>
      <c r="C49" s="143">
        <f>VLOOKUP(A49,'ESSA Title I-A Formula'!A57:G239,7,FALSE)</f>
        <v>0</v>
      </c>
      <c r="D49" s="61">
        <f>IFERROR(VLOOKUP(A49,'ESSA Title I-Delinquent'!$A$12:$G$23,5,FALSE),0)</f>
        <v>0</v>
      </c>
      <c r="E49" s="143">
        <v>0</v>
      </c>
      <c r="F49" s="143">
        <f>VLOOKUP(A49,'ESSA Title II-A Formula'!A57:G239,7,FALSE)</f>
        <v>0</v>
      </c>
      <c r="G49" s="143">
        <f>VLOOKUP(A49,'ESSA Title III-ELL '!$A$12:$G$196,7,FALSE)</f>
        <v>0</v>
      </c>
      <c r="H49" s="143">
        <v>0</v>
      </c>
      <c r="I49" s="143">
        <f>VLOOKUP(A49,'Title IV'!$A$12:$G$194,7,FALSE)</f>
        <v>0</v>
      </c>
      <c r="J49" s="143">
        <v>0</v>
      </c>
    </row>
    <row r="50" spans="1:10" ht="18.75" x14ac:dyDescent="0.3">
      <c r="A50" s="262" t="s">
        <v>53</v>
      </c>
      <c r="B50" s="62" t="s">
        <v>231</v>
      </c>
      <c r="C50" s="143">
        <f>VLOOKUP(A50,'ESSA Title I-A Formula'!A58:G240,7,FALSE)</f>
        <v>0</v>
      </c>
      <c r="D50" s="61">
        <f>IFERROR(VLOOKUP(A50,'ESSA Title I-Delinquent'!$A$12:$G$23,5,FALSE),0)</f>
        <v>0</v>
      </c>
      <c r="E50" s="143">
        <v>0</v>
      </c>
      <c r="F50" s="143">
        <f>VLOOKUP(A50,'ESSA Title II-A Formula'!A58:G240,7,FALSE)</f>
        <v>0</v>
      </c>
      <c r="G50" s="143">
        <f>VLOOKUP(A50,'ESSA Title III-ELL '!$A$12:$G$196,7,FALSE)</f>
        <v>0</v>
      </c>
      <c r="H50" s="143">
        <v>0</v>
      </c>
      <c r="I50" s="143">
        <f>VLOOKUP(A50,'Title IV'!$A$12:$G$194,7,FALSE)</f>
        <v>0</v>
      </c>
      <c r="J50" s="143">
        <v>0</v>
      </c>
    </row>
    <row r="51" spans="1:10" ht="18.75" x14ac:dyDescent="0.3">
      <c r="A51" s="262" t="s">
        <v>54</v>
      </c>
      <c r="B51" s="62" t="s">
        <v>232</v>
      </c>
      <c r="C51" s="143">
        <f>VLOOKUP(A51,'ESSA Title I-A Formula'!A59:G241,7,FALSE)</f>
        <v>0</v>
      </c>
      <c r="D51" s="61">
        <f>IFERROR(VLOOKUP(A51,'ESSA Title I-Delinquent'!$A$12:$G$23,5,FALSE),0)</f>
        <v>0</v>
      </c>
      <c r="E51" s="143">
        <v>0</v>
      </c>
      <c r="F51" s="143">
        <f>VLOOKUP(A51,'ESSA Title II-A Formula'!A59:G241,7,FALSE)</f>
        <v>0</v>
      </c>
      <c r="G51" s="143">
        <f>VLOOKUP(A51,'ESSA Title III-ELL '!$A$12:$G$196,7,FALSE)</f>
        <v>0</v>
      </c>
      <c r="H51" s="143">
        <v>0</v>
      </c>
      <c r="I51" s="143">
        <f>VLOOKUP(A51,'Title IV'!$A$12:$G$194,7,FALSE)</f>
        <v>0</v>
      </c>
      <c r="J51" s="143">
        <v>0</v>
      </c>
    </row>
    <row r="52" spans="1:10" ht="18.75" x14ac:dyDescent="0.3">
      <c r="A52" s="262" t="s">
        <v>55</v>
      </c>
      <c r="B52" s="62" t="s">
        <v>233</v>
      </c>
      <c r="C52" s="143">
        <f>VLOOKUP(A52,'ESSA Title I-A Formula'!A60:G242,7,FALSE)</f>
        <v>0</v>
      </c>
      <c r="D52" s="61">
        <f>IFERROR(VLOOKUP(A52,'ESSA Title I-Delinquent'!$A$12:$G$23,5,FALSE),0)</f>
        <v>0</v>
      </c>
      <c r="E52" s="143">
        <v>0</v>
      </c>
      <c r="F52" s="143">
        <f>VLOOKUP(A52,'ESSA Title II-A Formula'!A60:G242,7,FALSE)</f>
        <v>0</v>
      </c>
      <c r="G52" s="143">
        <f>VLOOKUP(A52,'ESSA Title III-ELL '!$A$12:$G$196,7,FALSE)</f>
        <v>0</v>
      </c>
      <c r="H52" s="143">
        <v>0</v>
      </c>
      <c r="I52" s="143">
        <f>VLOOKUP(A52,'Title IV'!$A$12:$G$194,7,FALSE)</f>
        <v>0</v>
      </c>
      <c r="J52" s="143">
        <v>0</v>
      </c>
    </row>
    <row r="53" spans="1:10" ht="18.75" x14ac:dyDescent="0.3">
      <c r="A53" s="262" t="s">
        <v>56</v>
      </c>
      <c r="B53" s="62" t="s">
        <v>234</v>
      </c>
      <c r="C53" s="143">
        <f>VLOOKUP(A53,'ESSA Title I-A Formula'!A61:G243,7,FALSE)</f>
        <v>0</v>
      </c>
      <c r="D53" s="61">
        <f>VLOOKUP(A53,'ESSA Title I-Delinquent'!$A$12:$G$23,7,FALSE)</f>
        <v>0</v>
      </c>
      <c r="E53" s="143">
        <v>0</v>
      </c>
      <c r="F53" s="143">
        <f>VLOOKUP(A53,'ESSA Title II-A Formula'!A61:G243,7,FALSE)</f>
        <v>0</v>
      </c>
      <c r="G53" s="143">
        <f>VLOOKUP(A53,'ESSA Title III-ELL '!$A$12:$G$196,7,FALSE)</f>
        <v>0</v>
      </c>
      <c r="H53" s="143">
        <f>VLOOKUP(A53,'ESSA Title III SAI'!$A$12:$G$48,7,FALSE)</f>
        <v>0</v>
      </c>
      <c r="I53" s="143">
        <f>VLOOKUP(A53,'Title IV'!$A$12:$G$194,7,FALSE)</f>
        <v>0</v>
      </c>
      <c r="J53" s="143">
        <v>0</v>
      </c>
    </row>
    <row r="54" spans="1:10" ht="18.75" x14ac:dyDescent="0.3">
      <c r="A54" s="262" t="s">
        <v>57</v>
      </c>
      <c r="B54" s="62" t="s">
        <v>235</v>
      </c>
      <c r="C54" s="143">
        <f>VLOOKUP(A54,'ESSA Title I-A Formula'!A62:G244,7,FALSE)</f>
        <v>0</v>
      </c>
      <c r="D54" s="61">
        <f>IFERROR(VLOOKUP(A54,'ESSA Title I-Delinquent'!$A$12:$G$23,5,FALSE),0)</f>
        <v>0</v>
      </c>
      <c r="E54" s="143">
        <v>0</v>
      </c>
      <c r="F54" s="143">
        <f>VLOOKUP(A54,'ESSA Title II-A Formula'!A62:G244,7,FALSE)</f>
        <v>0</v>
      </c>
      <c r="G54" s="143">
        <f>VLOOKUP(A54,'ESSA Title III-ELL '!$A$12:$G$196,7,FALSE)</f>
        <v>0</v>
      </c>
      <c r="H54" s="143">
        <v>0</v>
      </c>
      <c r="I54" s="143">
        <f>VLOOKUP(A54,'Title IV'!$A$12:$G$194,7,FALSE)</f>
        <v>0</v>
      </c>
      <c r="J54" s="143">
        <v>0</v>
      </c>
    </row>
    <row r="55" spans="1:10" ht="18.75" x14ac:dyDescent="0.3">
      <c r="A55" s="262" t="s">
        <v>58</v>
      </c>
      <c r="B55" s="62" t="s">
        <v>236</v>
      </c>
      <c r="C55" s="143">
        <f>VLOOKUP(A55,'ESSA Title I-A Formula'!A63:G245,7,FALSE)</f>
        <v>0</v>
      </c>
      <c r="D55" s="61">
        <f>IFERROR(VLOOKUP(A55,'ESSA Title I-Delinquent'!$A$12:$G$23,5,FALSE),0)</f>
        <v>0</v>
      </c>
      <c r="E55" s="143">
        <v>0</v>
      </c>
      <c r="F55" s="143">
        <f>VLOOKUP(A55,'ESSA Title II-A Formula'!A63:G245,7,FALSE)</f>
        <v>0</v>
      </c>
      <c r="G55" s="143">
        <f>VLOOKUP(A55,'ESSA Title III-ELL '!$A$12:$G$196,7,FALSE)</f>
        <v>0</v>
      </c>
      <c r="H55" s="143">
        <v>0</v>
      </c>
      <c r="I55" s="143">
        <f>VLOOKUP(A55,'Title IV'!$A$12:$G$194,7,FALSE)</f>
        <v>0</v>
      </c>
      <c r="J55" s="143">
        <v>0</v>
      </c>
    </row>
    <row r="56" spans="1:10" ht="18.75" x14ac:dyDescent="0.3">
      <c r="A56" s="262" t="s">
        <v>59</v>
      </c>
      <c r="B56" s="62" t="s">
        <v>237</v>
      </c>
      <c r="C56" s="143">
        <f>VLOOKUP(A56,'ESSA Title I-A Formula'!A64:G246,7,FALSE)</f>
        <v>0</v>
      </c>
      <c r="D56" s="61">
        <f>VLOOKUP(A56,'ESSA Title I-Delinquent'!$A$12:$G$23,7,FALSE)</f>
        <v>0</v>
      </c>
      <c r="E56" s="143">
        <v>0</v>
      </c>
      <c r="F56" s="143">
        <f>VLOOKUP(A56,'ESSA Title II-A Formula'!A64:G246,7,FALSE)</f>
        <v>0</v>
      </c>
      <c r="G56" s="143">
        <f>VLOOKUP(A56,'ESSA Title III-ELL '!$A$12:$G$196,7,FALSE)</f>
        <v>0</v>
      </c>
      <c r="H56" s="143">
        <f>VLOOKUP(A56,'ESSA Title III SAI'!$A$12:$G$48,7,FALSE)</f>
        <v>348.18000000000029</v>
      </c>
      <c r="I56" s="143">
        <f>VLOOKUP(A56,'Title IV'!$A$12:$G$194,7,FALSE)</f>
        <v>0</v>
      </c>
      <c r="J56" s="143">
        <v>0</v>
      </c>
    </row>
    <row r="57" spans="1:10" ht="18.75" x14ac:dyDescent="0.3">
      <c r="A57" s="262" t="s">
        <v>60</v>
      </c>
      <c r="B57" s="62" t="s">
        <v>238</v>
      </c>
      <c r="C57" s="143">
        <f>VLOOKUP(A57,'ESSA Title I-A Formula'!A65:G247,7,FALSE)</f>
        <v>0</v>
      </c>
      <c r="D57" s="61">
        <v>0</v>
      </c>
      <c r="E57" s="143">
        <v>0</v>
      </c>
      <c r="F57" s="143">
        <f>VLOOKUP(A57,'ESSA Title II-A Formula'!A65:G247,7,FALSE)</f>
        <v>0</v>
      </c>
      <c r="G57" s="143">
        <f>VLOOKUP(A57,'ESSA Title III-ELL '!$A$12:$G$196,7,FALSE)</f>
        <v>0</v>
      </c>
      <c r="H57" s="143">
        <f>VLOOKUP(A57,'ESSA Title III SAI'!$A$12:$G$48,7,FALSE)</f>
        <v>0</v>
      </c>
      <c r="I57" s="143">
        <f>VLOOKUP(A57,'Title IV'!$A$12:$G$194,7,FALSE)</f>
        <v>0</v>
      </c>
      <c r="J57" s="143">
        <v>0</v>
      </c>
    </row>
    <row r="58" spans="1:10" ht="18.75" x14ac:dyDescent="0.3">
      <c r="A58" s="262" t="s">
        <v>61</v>
      </c>
      <c r="B58" s="62" t="s">
        <v>239</v>
      </c>
      <c r="C58" s="143">
        <f>VLOOKUP(A58,'ESSA Title I-A Formula'!A66:G248,7,FALSE)</f>
        <v>0</v>
      </c>
      <c r="D58" s="61">
        <f>IFERROR(VLOOKUP(A58,'ESSA Title I-Delinquent'!$A$12:$G$23,5,FALSE),0)</f>
        <v>0</v>
      </c>
      <c r="E58" s="143">
        <v>0</v>
      </c>
      <c r="F58" s="143">
        <f>VLOOKUP(A58,'ESSA Title II-A Formula'!A66:G248,7,FALSE)</f>
        <v>0</v>
      </c>
      <c r="G58" s="143">
        <f>VLOOKUP(A58,'ESSA Title III-ELL '!$A$12:$G$196,7,FALSE)</f>
        <v>0</v>
      </c>
      <c r="H58" s="143">
        <v>0</v>
      </c>
      <c r="I58" s="143">
        <f>VLOOKUP(A58,'Title IV'!$A$12:$G$194,7,FALSE)</f>
        <v>0</v>
      </c>
      <c r="J58" s="143">
        <v>0</v>
      </c>
    </row>
    <row r="59" spans="1:10" ht="18.75" x14ac:dyDescent="0.3">
      <c r="A59" s="262" t="s">
        <v>62</v>
      </c>
      <c r="B59" s="62" t="s">
        <v>240</v>
      </c>
      <c r="C59" s="143">
        <f>VLOOKUP(A59,'ESSA Title I-A Formula'!A67:G249,7,FALSE)</f>
        <v>0</v>
      </c>
      <c r="D59" s="61">
        <f>IFERROR(VLOOKUP(A59,'ESSA Title I-Delinquent'!$A$12:$G$23,5,FALSE),0)</f>
        <v>0</v>
      </c>
      <c r="E59" s="143">
        <v>0</v>
      </c>
      <c r="F59" s="143">
        <f>VLOOKUP(A59,'ESSA Title II-A Formula'!A67:G249,7,FALSE)</f>
        <v>0</v>
      </c>
      <c r="G59" s="143">
        <f>VLOOKUP(A59,'ESSA Title III-ELL '!$A$12:$G$196,7,FALSE)</f>
        <v>0</v>
      </c>
      <c r="H59" s="143">
        <f>VLOOKUP(A59,'ESSA Title III SAI'!$A$12:$G$48,7,FALSE)</f>
        <v>0</v>
      </c>
      <c r="I59" s="143">
        <f>VLOOKUP(A59,'Title IV'!$A$12:$G$194,7,FALSE)</f>
        <v>0</v>
      </c>
      <c r="J59" s="143">
        <v>0</v>
      </c>
    </row>
    <row r="60" spans="1:10" ht="18.75" x14ac:dyDescent="0.3">
      <c r="A60" s="262" t="s">
        <v>63</v>
      </c>
      <c r="B60" s="62" t="s">
        <v>241</v>
      </c>
      <c r="C60" s="143">
        <f>VLOOKUP(A60,'ESSA Title I-A Formula'!A68:G250,7,FALSE)</f>
        <v>0</v>
      </c>
      <c r="D60" s="61">
        <f>IFERROR(VLOOKUP(A60,'ESSA Title I-Delinquent'!$A$12:$G$23,5,FALSE),0)</f>
        <v>0</v>
      </c>
      <c r="E60" s="143">
        <v>0</v>
      </c>
      <c r="F60" s="143">
        <f>VLOOKUP(A60,'ESSA Title II-A Formula'!A68:G250,7,FALSE)</f>
        <v>0</v>
      </c>
      <c r="G60" s="143">
        <f>VLOOKUP(A60,'ESSA Title III-ELL '!$A$12:$G$196,7,FALSE)</f>
        <v>0</v>
      </c>
      <c r="H60" s="143">
        <v>0</v>
      </c>
      <c r="I60" s="143">
        <f>VLOOKUP(A60,'Title IV'!$A$12:$G$194,7,FALSE)</f>
        <v>0</v>
      </c>
      <c r="J60" s="143">
        <v>0</v>
      </c>
    </row>
    <row r="61" spans="1:10" ht="18.75" x14ac:dyDescent="0.3">
      <c r="A61" s="262" t="s">
        <v>64</v>
      </c>
      <c r="B61" s="62" t="s">
        <v>242</v>
      </c>
      <c r="C61" s="143">
        <f>VLOOKUP(A61,'ESSA Title I-A Formula'!A69:G251,7,FALSE)</f>
        <v>0</v>
      </c>
      <c r="D61" s="61">
        <f>IFERROR(VLOOKUP(A61,'ESSA Title I-Delinquent'!$A$12:$G$23,5,FALSE),0)</f>
        <v>0</v>
      </c>
      <c r="E61" s="143">
        <v>0</v>
      </c>
      <c r="F61" s="143">
        <f>VLOOKUP(A61,'ESSA Title II-A Formula'!A69:G251,7,FALSE)</f>
        <v>0</v>
      </c>
      <c r="G61" s="143">
        <f>VLOOKUP(A61,'ESSA Title III-ELL '!$A$12:$G$196,7,FALSE)</f>
        <v>0</v>
      </c>
      <c r="H61" s="143">
        <v>0</v>
      </c>
      <c r="I61" s="143">
        <f>VLOOKUP(A61,'Title IV'!$A$12:$G$194,7,FALSE)</f>
        <v>0</v>
      </c>
      <c r="J61" s="143">
        <v>0</v>
      </c>
    </row>
    <row r="62" spans="1:10" ht="18.75" x14ac:dyDescent="0.3">
      <c r="A62" s="262" t="s">
        <v>65</v>
      </c>
      <c r="B62" s="62" t="s">
        <v>243</v>
      </c>
      <c r="C62" s="143">
        <f>VLOOKUP(A62,'ESSA Title I-A Formula'!A70:G252,7,FALSE)</f>
        <v>0</v>
      </c>
      <c r="D62" s="61">
        <f>IFERROR(VLOOKUP(A62,'ESSA Title I-Delinquent'!$A$12:$G$23,5,FALSE),0)</f>
        <v>0</v>
      </c>
      <c r="E62" s="143">
        <v>0</v>
      </c>
      <c r="F62" s="143">
        <f>VLOOKUP(A62,'ESSA Title II-A Formula'!A70:G252,7,FALSE)</f>
        <v>0</v>
      </c>
      <c r="G62" s="143">
        <f>VLOOKUP(A62,'ESSA Title III-ELL '!$A$12:$G$196,7,FALSE)</f>
        <v>0</v>
      </c>
      <c r="H62" s="143">
        <v>0</v>
      </c>
      <c r="I62" s="143">
        <f>VLOOKUP(A62,'Title IV'!$A$12:$G$194,7,FALSE)</f>
        <v>0</v>
      </c>
      <c r="J62" s="143">
        <v>0</v>
      </c>
    </row>
    <row r="63" spans="1:10" ht="18.75" x14ac:dyDescent="0.3">
      <c r="A63" s="262" t="s">
        <v>66</v>
      </c>
      <c r="B63" s="62" t="s">
        <v>244</v>
      </c>
      <c r="C63" s="143">
        <f>VLOOKUP(A63,'ESSA Title I-A Formula'!A71:G253,7,FALSE)</f>
        <v>0</v>
      </c>
      <c r="D63" s="61">
        <f>IFERROR(VLOOKUP(A63,'ESSA Title I-Delinquent'!$A$12:$G$23,5,FALSE),0)</f>
        <v>0</v>
      </c>
      <c r="E63" s="143">
        <v>0</v>
      </c>
      <c r="F63" s="143">
        <f>VLOOKUP(A63,'ESSA Title II-A Formula'!A71:G253,7,FALSE)</f>
        <v>0</v>
      </c>
      <c r="G63" s="143">
        <f>VLOOKUP(A63,'ESSA Title III-ELL '!$A$12:$G$196,7,FALSE)</f>
        <v>0</v>
      </c>
      <c r="H63" s="143">
        <f>VLOOKUP(A63,'ESSA Title III SAI'!$A$12:$G$48,7,FALSE)</f>
        <v>0</v>
      </c>
      <c r="I63" s="143">
        <f>VLOOKUP(A63,'Title IV'!$A$12:$G$194,7,FALSE)</f>
        <v>0</v>
      </c>
      <c r="J63" s="143">
        <v>0</v>
      </c>
    </row>
    <row r="64" spans="1:10" ht="18.75" x14ac:dyDescent="0.3">
      <c r="A64" s="262" t="s">
        <v>67</v>
      </c>
      <c r="B64" s="62" t="s">
        <v>245</v>
      </c>
      <c r="C64" s="143">
        <f>VLOOKUP(A64,'ESSA Title I-A Formula'!A72:G254,7,FALSE)</f>
        <v>0</v>
      </c>
      <c r="D64" s="61">
        <f>IFERROR(VLOOKUP(A64,'ESSA Title I-Delinquent'!$A$12:$G$23,5,FALSE),0)</f>
        <v>0</v>
      </c>
      <c r="E64" s="143">
        <v>0</v>
      </c>
      <c r="F64" s="143">
        <f>VLOOKUP(A64,'ESSA Title II-A Formula'!A72:G254,7,FALSE)</f>
        <v>0</v>
      </c>
      <c r="G64" s="143">
        <f>VLOOKUP(A64,'ESSA Title III-ELL '!$A$12:$G$196,7,FALSE)</f>
        <v>0</v>
      </c>
      <c r="H64" s="143">
        <f>VLOOKUP(A64,'ESSA Title III SAI'!$A$12:$G$48,7,FALSE)</f>
        <v>0</v>
      </c>
      <c r="I64" s="143">
        <f>VLOOKUP(A64,'Title IV'!$A$12:$G$194,7,FALSE)</f>
        <v>0</v>
      </c>
      <c r="J64" s="143">
        <v>0</v>
      </c>
    </row>
    <row r="65" spans="1:10" ht="18.75" x14ac:dyDescent="0.3">
      <c r="A65" s="262" t="s">
        <v>68</v>
      </c>
      <c r="B65" s="62" t="s">
        <v>246</v>
      </c>
      <c r="C65" s="143">
        <f>VLOOKUP(A65,'ESSA Title I-A Formula'!A73:G255,7,FALSE)</f>
        <v>0</v>
      </c>
      <c r="D65" s="61">
        <f>IFERROR(VLOOKUP(A65,'ESSA Title I-Delinquent'!$A$12:$G$23,5,FALSE),0)</f>
        <v>0</v>
      </c>
      <c r="E65" s="143">
        <v>0</v>
      </c>
      <c r="F65" s="143">
        <f>VLOOKUP(A65,'ESSA Title II-A Formula'!A73:G255,7,FALSE)</f>
        <v>0</v>
      </c>
      <c r="G65" s="143">
        <f>VLOOKUP(A65,'ESSA Title III-ELL '!$A$12:$G$196,7,FALSE)</f>
        <v>0</v>
      </c>
      <c r="H65" s="143">
        <v>0</v>
      </c>
      <c r="I65" s="143">
        <f>VLOOKUP(A65,'Title IV'!$A$12:$G$194,7,FALSE)</f>
        <v>0</v>
      </c>
      <c r="J65" s="143">
        <v>0</v>
      </c>
    </row>
    <row r="66" spans="1:10" ht="18.75" x14ac:dyDescent="0.3">
      <c r="A66" s="262" t="s">
        <v>69</v>
      </c>
      <c r="B66" s="62" t="s">
        <v>247</v>
      </c>
      <c r="C66" s="143">
        <f>VLOOKUP(A66,'ESSA Title I-A Formula'!A74:G256,7,FALSE)</f>
        <v>0</v>
      </c>
      <c r="D66" s="61">
        <f>IFERROR(VLOOKUP(A66,'ESSA Title I-Delinquent'!$A$12:$G$23,5,FALSE),0)</f>
        <v>0</v>
      </c>
      <c r="E66" s="143">
        <v>0</v>
      </c>
      <c r="F66" s="143">
        <f>VLOOKUP(A66,'ESSA Title II-A Formula'!A74:G256,7,FALSE)</f>
        <v>0</v>
      </c>
      <c r="G66" s="143">
        <f>VLOOKUP(A66,'ESSA Title III-ELL '!$A$12:$G$196,7,FALSE)</f>
        <v>0</v>
      </c>
      <c r="H66" s="143">
        <v>0</v>
      </c>
      <c r="I66" s="143">
        <f>VLOOKUP(A66,'Title IV'!$A$12:$G$194,7,FALSE)</f>
        <v>0</v>
      </c>
      <c r="J66" s="143">
        <v>0</v>
      </c>
    </row>
    <row r="67" spans="1:10" ht="18.75" x14ac:dyDescent="0.3">
      <c r="A67" s="262" t="s">
        <v>70</v>
      </c>
      <c r="B67" s="62" t="s">
        <v>248</v>
      </c>
      <c r="C67" s="143">
        <f>VLOOKUP(A67,'ESSA Title I-A Formula'!A75:G257,7,FALSE)</f>
        <v>0</v>
      </c>
      <c r="D67" s="61">
        <f>VLOOKUP(A67,'ESSA Title I-Delinquent'!$A$12:$G$23,7,FALSE)</f>
        <v>0</v>
      </c>
      <c r="E67" s="143">
        <v>0</v>
      </c>
      <c r="F67" s="143">
        <f>VLOOKUP(A67,'ESSA Title II-A Formula'!A75:G257,7,FALSE)</f>
        <v>0</v>
      </c>
      <c r="G67" s="143">
        <f>VLOOKUP(A67,'ESSA Title III-ELL '!$A$12:$G$196,7,FALSE)</f>
        <v>0</v>
      </c>
      <c r="H67" s="143">
        <v>0</v>
      </c>
      <c r="I67" s="143">
        <f>VLOOKUP(A67,'Title IV'!$A$12:$G$194,7,FALSE)</f>
        <v>0</v>
      </c>
      <c r="J67" s="143">
        <f>VLOOKUP(A67,'ESSA Title V-B'!$A$12:$G$38,7,FALSE)</f>
        <v>0</v>
      </c>
    </row>
    <row r="68" spans="1:10" ht="18.75" x14ac:dyDescent="0.3">
      <c r="A68" s="262" t="s">
        <v>71</v>
      </c>
      <c r="B68" s="62" t="s">
        <v>249</v>
      </c>
      <c r="C68" s="143">
        <f>VLOOKUP(A68,'ESSA Title I-A Formula'!A76:G258,7,FALSE)</f>
        <v>0</v>
      </c>
      <c r="D68" s="61">
        <f>IFERROR(VLOOKUP(A68,'ESSA Title I-Delinquent'!$A$12:$G$23,5,FALSE),0)</f>
        <v>0</v>
      </c>
      <c r="E68" s="143">
        <v>0</v>
      </c>
      <c r="F68" s="143">
        <f>VLOOKUP(A68,'ESSA Title II-A Formula'!A76:G258,7,FALSE)</f>
        <v>0</v>
      </c>
      <c r="G68" s="143">
        <f>VLOOKUP(A68,'ESSA Title III-ELL '!$A$12:$G$196,7,FALSE)</f>
        <v>0</v>
      </c>
      <c r="H68" s="143">
        <v>0</v>
      </c>
      <c r="I68" s="143">
        <f>VLOOKUP(A68,'Title IV'!$A$12:$G$194,7,FALSE)</f>
        <v>0</v>
      </c>
      <c r="J68" s="143">
        <v>0</v>
      </c>
    </row>
    <row r="69" spans="1:10" ht="18.75" x14ac:dyDescent="0.3">
      <c r="A69" s="262" t="s">
        <v>72</v>
      </c>
      <c r="B69" s="62" t="s">
        <v>250</v>
      </c>
      <c r="C69" s="143">
        <f>VLOOKUP(A69,'ESSA Title I-A Formula'!A77:G259,7,FALSE)</f>
        <v>0</v>
      </c>
      <c r="D69" s="61">
        <f>IFERROR(VLOOKUP(A69,'ESSA Title I-Delinquent'!$A$12:$G$23,5,FALSE),0)</f>
        <v>0</v>
      </c>
      <c r="E69" s="143">
        <v>0</v>
      </c>
      <c r="F69" s="143">
        <f>VLOOKUP(A69,'ESSA Title II-A Formula'!A77:G259,7,FALSE)</f>
        <v>0</v>
      </c>
      <c r="G69" s="143">
        <f>VLOOKUP(A69,'ESSA Title III-ELL '!$A$12:$G$196,7,FALSE)</f>
        <v>0</v>
      </c>
      <c r="H69" s="143">
        <v>0</v>
      </c>
      <c r="I69" s="143">
        <f>VLOOKUP(A69,'Title IV'!$A$12:$G$194,7,FALSE)</f>
        <v>0</v>
      </c>
      <c r="J69" s="143">
        <v>0</v>
      </c>
    </row>
    <row r="70" spans="1:10" ht="18.75" x14ac:dyDescent="0.3">
      <c r="A70" s="262" t="s">
        <v>73</v>
      </c>
      <c r="B70" s="62" t="s">
        <v>251</v>
      </c>
      <c r="C70" s="143">
        <f>VLOOKUP(A70,'ESSA Title I-A Formula'!A78:G260,7,FALSE)</f>
        <v>0</v>
      </c>
      <c r="D70" s="61">
        <f>IFERROR(VLOOKUP(A70,'ESSA Title I-Delinquent'!$A$12:$G$23,5,FALSE),0)</f>
        <v>0</v>
      </c>
      <c r="E70" s="143">
        <v>0</v>
      </c>
      <c r="F70" s="143">
        <f>VLOOKUP(A70,'ESSA Title II-A Formula'!A78:G260,7,FALSE)</f>
        <v>0</v>
      </c>
      <c r="G70" s="143">
        <f>VLOOKUP(A70,'ESSA Title III-ELL '!$A$12:$G$196,7,FALSE)</f>
        <v>0</v>
      </c>
      <c r="H70" s="143">
        <f>VLOOKUP(A70,'ESSA Title III SAI'!$A$12:$G$48,7,FALSE)</f>
        <v>0</v>
      </c>
      <c r="I70" s="143">
        <f>VLOOKUP(A70,'Title IV'!$A$12:$G$194,7,FALSE)</f>
        <v>0</v>
      </c>
      <c r="J70" s="143">
        <v>0</v>
      </c>
    </row>
    <row r="71" spans="1:10" ht="18.75" x14ac:dyDescent="0.3">
      <c r="A71" s="262" t="s">
        <v>74</v>
      </c>
      <c r="B71" s="62" t="s">
        <v>252</v>
      </c>
      <c r="C71" s="143">
        <f>VLOOKUP(A71,'ESSA Title I-A Formula'!A79:G261,7,FALSE)</f>
        <v>0</v>
      </c>
      <c r="D71" s="61">
        <f>IFERROR(VLOOKUP(A71,'ESSA Title I-Delinquent'!$A$12:$G$23,5,FALSE),0)</f>
        <v>0</v>
      </c>
      <c r="E71" s="143">
        <v>0</v>
      </c>
      <c r="F71" s="143">
        <f>VLOOKUP(A71,'ESSA Title II-A Formula'!A79:G261,7,FALSE)</f>
        <v>0</v>
      </c>
      <c r="G71" s="143">
        <f>VLOOKUP(A71,'ESSA Title III-ELL '!$A$12:$G$196,7,FALSE)</f>
        <v>0</v>
      </c>
      <c r="H71" s="143">
        <f>VLOOKUP(A71,'ESSA Title III SAI'!$A$12:$G$48,7,FALSE)</f>
        <v>4269</v>
      </c>
      <c r="I71" s="143">
        <f>VLOOKUP(A71,'Title IV'!$A$12:$G$194,7,FALSE)</f>
        <v>0</v>
      </c>
      <c r="J71" s="143">
        <v>0</v>
      </c>
    </row>
    <row r="72" spans="1:10" ht="18.75" x14ac:dyDescent="0.3">
      <c r="A72" s="262" t="s">
        <v>75</v>
      </c>
      <c r="B72" s="62" t="s">
        <v>253</v>
      </c>
      <c r="C72" s="143">
        <f>VLOOKUP(A72,'ESSA Title I-A Formula'!A80:G262,7,FALSE)</f>
        <v>0</v>
      </c>
      <c r="D72" s="61">
        <f>IFERROR(VLOOKUP(A72,'ESSA Title I-Delinquent'!$A$12:$G$23,5,FALSE),0)</f>
        <v>0</v>
      </c>
      <c r="E72" s="143">
        <v>0</v>
      </c>
      <c r="F72" s="143">
        <f>VLOOKUP(A72,'ESSA Title II-A Formula'!A80:G262,7,FALSE)</f>
        <v>0</v>
      </c>
      <c r="G72" s="143">
        <f>VLOOKUP(A72,'ESSA Title III-ELL '!$A$12:$G$196,7,FALSE)</f>
        <v>0</v>
      </c>
      <c r="H72" s="143">
        <f>VLOOKUP(A72,'ESSA Title III SAI'!$A$12:$G$48,7,FALSE)</f>
        <v>0</v>
      </c>
      <c r="I72" s="143">
        <f>VLOOKUP(A72,'Title IV'!$A$12:$G$194,7,FALSE)</f>
        <v>0</v>
      </c>
      <c r="J72" s="143">
        <v>0</v>
      </c>
    </row>
    <row r="73" spans="1:10" ht="18.75" x14ac:dyDescent="0.3">
      <c r="A73" s="262" t="s">
        <v>76</v>
      </c>
      <c r="B73" s="62" t="s">
        <v>254</v>
      </c>
      <c r="C73" s="143">
        <f>VLOOKUP(A73,'ESSA Title I-A Formula'!A81:G263,7,FALSE)</f>
        <v>0</v>
      </c>
      <c r="D73" s="61">
        <f>IFERROR(VLOOKUP(A73,'ESSA Title I-Delinquent'!$A$12:$G$23,5,FALSE),0)</f>
        <v>0</v>
      </c>
      <c r="E73" s="143">
        <v>0</v>
      </c>
      <c r="F73" s="143">
        <f>VLOOKUP(A73,'ESSA Title II-A Formula'!A81:G263,7,FALSE)</f>
        <v>0</v>
      </c>
      <c r="G73" s="143">
        <f>VLOOKUP(A73,'ESSA Title III-ELL '!$A$12:$G$196,7,FALSE)</f>
        <v>0</v>
      </c>
      <c r="H73" s="143">
        <v>0</v>
      </c>
      <c r="I73" s="143">
        <f>VLOOKUP(A73,'Title IV'!$A$12:$G$194,7,FALSE)</f>
        <v>0</v>
      </c>
      <c r="J73" s="143">
        <v>0</v>
      </c>
    </row>
    <row r="74" spans="1:10" ht="18.75" x14ac:dyDescent="0.3">
      <c r="A74" s="262" t="s">
        <v>77</v>
      </c>
      <c r="B74" s="62" t="s">
        <v>255</v>
      </c>
      <c r="C74" s="143">
        <f>VLOOKUP(A74,'ESSA Title I-A Formula'!A82:G264,7,FALSE)</f>
        <v>0</v>
      </c>
      <c r="D74" s="61">
        <f>IFERROR(VLOOKUP(A74,'ESSA Title I-Delinquent'!$A$12:$G$23,5,FALSE),0)</f>
        <v>0</v>
      </c>
      <c r="E74" s="143">
        <v>0</v>
      </c>
      <c r="F74" s="143">
        <f>VLOOKUP(A74,'ESSA Title II-A Formula'!A82:G264,7,FALSE)</f>
        <v>0</v>
      </c>
      <c r="G74" s="143">
        <f>VLOOKUP(A74,'ESSA Title III-ELL '!$A$12:$G$196,7,FALSE)</f>
        <v>0</v>
      </c>
      <c r="H74" s="143">
        <v>0</v>
      </c>
      <c r="I74" s="143">
        <f>VLOOKUP(A74,'Title IV'!$A$12:$G$194,7,FALSE)</f>
        <v>0</v>
      </c>
      <c r="J74" s="143">
        <v>0</v>
      </c>
    </row>
    <row r="75" spans="1:10" ht="18.75" x14ac:dyDescent="0.3">
      <c r="A75" s="262" t="s">
        <v>78</v>
      </c>
      <c r="B75" s="62" t="s">
        <v>256</v>
      </c>
      <c r="C75" s="143">
        <f>VLOOKUP(A75,'ESSA Title I-A Formula'!A83:G265,7,FALSE)</f>
        <v>0</v>
      </c>
      <c r="D75" s="61">
        <f>IFERROR(VLOOKUP(A75,'ESSA Title I-Delinquent'!$A$12:$G$23,5,FALSE),0)</f>
        <v>0</v>
      </c>
      <c r="E75" s="143">
        <v>0</v>
      </c>
      <c r="F75" s="143">
        <f>VLOOKUP(A75,'ESSA Title II-A Formula'!A83:G265,7,FALSE)</f>
        <v>0</v>
      </c>
      <c r="G75" s="143">
        <f>VLOOKUP(A75,'ESSA Title III-ELL '!$A$12:$G$196,7,FALSE)</f>
        <v>0</v>
      </c>
      <c r="H75" s="143">
        <f>VLOOKUP(A75,'ESSA Title III SAI'!$A$12:$G$48,7,FALSE)</f>
        <v>0</v>
      </c>
      <c r="I75" s="143">
        <f>VLOOKUP(A75,'Title IV'!$A$12:$G$194,7,FALSE)</f>
        <v>0</v>
      </c>
      <c r="J75" s="143">
        <v>0</v>
      </c>
    </row>
    <row r="76" spans="1:10" ht="18.75" x14ac:dyDescent="0.3">
      <c r="A76" s="262" t="s">
        <v>79</v>
      </c>
      <c r="B76" s="62" t="s">
        <v>257</v>
      </c>
      <c r="C76" s="143">
        <f>VLOOKUP(A76,'ESSA Title I-A Formula'!A84:G266,7,FALSE)</f>
        <v>0</v>
      </c>
      <c r="D76" s="61">
        <f>IFERROR(VLOOKUP(A76,'ESSA Title I-Delinquent'!$A$12:$G$23,5,FALSE),0)</f>
        <v>0</v>
      </c>
      <c r="E76" s="143">
        <v>0</v>
      </c>
      <c r="F76" s="143">
        <f>VLOOKUP(A76,'ESSA Title II-A Formula'!A84:G266,7,FALSE)</f>
        <v>0</v>
      </c>
      <c r="G76" s="143">
        <f>VLOOKUP(A76,'ESSA Title III-ELL '!$A$12:$G$196,7,FALSE)</f>
        <v>0</v>
      </c>
      <c r="H76" s="143">
        <v>0</v>
      </c>
      <c r="I76" s="143">
        <f>VLOOKUP(A76,'Title IV'!$A$12:$G$194,7,FALSE)</f>
        <v>0</v>
      </c>
      <c r="J76" s="143">
        <v>0</v>
      </c>
    </row>
    <row r="77" spans="1:10" ht="18.75" x14ac:dyDescent="0.3">
      <c r="A77" s="262" t="s">
        <v>80</v>
      </c>
      <c r="B77" s="62" t="s">
        <v>258</v>
      </c>
      <c r="C77" s="143">
        <f>VLOOKUP(A77,'ESSA Title I-A Formula'!A85:G267,7,FALSE)</f>
        <v>0</v>
      </c>
      <c r="D77" s="61">
        <f>IFERROR(VLOOKUP(A77,'ESSA Title I-Delinquent'!$A$12:$G$23,5,FALSE),0)</f>
        <v>0</v>
      </c>
      <c r="E77" s="143">
        <v>0</v>
      </c>
      <c r="F77" s="143">
        <f>VLOOKUP(A77,'ESSA Title II-A Formula'!A85:G267,7,FALSE)</f>
        <v>0</v>
      </c>
      <c r="G77" s="143">
        <f>VLOOKUP(A77,'ESSA Title III-ELL '!$A$12:$G$196,7,FALSE)</f>
        <v>0</v>
      </c>
      <c r="H77" s="143">
        <v>0</v>
      </c>
      <c r="I77" s="143">
        <f>VLOOKUP(A77,'Title IV'!$A$12:$G$194,7,FALSE)</f>
        <v>0</v>
      </c>
      <c r="J77" s="143">
        <f>VLOOKUP(A77,'ESSA Title V-B'!$A$12:$G$38,7,FALSE)</f>
        <v>0</v>
      </c>
    </row>
    <row r="78" spans="1:10" ht="18.75" x14ac:dyDescent="0.3">
      <c r="A78" s="262" t="s">
        <v>81</v>
      </c>
      <c r="B78" s="62" t="s">
        <v>259</v>
      </c>
      <c r="C78" s="143">
        <f>VLOOKUP(A78,'ESSA Title I-A Formula'!A86:G268,7,FALSE)</f>
        <v>0</v>
      </c>
      <c r="D78" s="61">
        <f>IFERROR(VLOOKUP(A78,'ESSA Title I-Delinquent'!$A$12:$G$23,5,FALSE),0)</f>
        <v>0</v>
      </c>
      <c r="E78" s="143">
        <v>0</v>
      </c>
      <c r="F78" s="143">
        <f>VLOOKUP(A78,'ESSA Title II-A Formula'!A86:G268,7,FALSE)</f>
        <v>0</v>
      </c>
      <c r="G78" s="143">
        <f>VLOOKUP(A78,'ESSA Title III-ELL '!$A$12:$G$196,7,FALSE)</f>
        <v>0</v>
      </c>
      <c r="H78" s="143">
        <v>0</v>
      </c>
      <c r="I78" s="143">
        <f>VLOOKUP(A78,'Title IV'!$A$12:$G$194,7,FALSE)</f>
        <v>0</v>
      </c>
      <c r="J78" s="143">
        <f>VLOOKUP(A78,'ESSA Title V-B'!$A$12:$G$38,7,FALSE)</f>
        <v>0</v>
      </c>
    </row>
    <row r="79" spans="1:10" ht="18.75" x14ac:dyDescent="0.3">
      <c r="A79" s="262" t="s">
        <v>82</v>
      </c>
      <c r="B79" s="62" t="s">
        <v>260</v>
      </c>
      <c r="C79" s="143">
        <f>VLOOKUP(A79,'ESSA Title I-A Formula'!A87:G269,7,FALSE)</f>
        <v>0</v>
      </c>
      <c r="D79" s="61">
        <f>IFERROR(VLOOKUP(A79,'ESSA Title I-Delinquent'!$A$12:$G$23,5,FALSE),0)</f>
        <v>0</v>
      </c>
      <c r="E79" s="143">
        <v>0</v>
      </c>
      <c r="F79" s="143">
        <f>VLOOKUP(A79,'ESSA Title II-A Formula'!A87:G269,7,FALSE)</f>
        <v>0</v>
      </c>
      <c r="G79" s="143">
        <f>VLOOKUP(A79,'ESSA Title III-ELL '!$A$12:$G$196,7,FALSE)</f>
        <v>0</v>
      </c>
      <c r="H79" s="143">
        <v>0</v>
      </c>
      <c r="I79" s="143">
        <f>VLOOKUP(A79,'Title IV'!$A$12:$G$194,7,FALSE)</f>
        <v>0</v>
      </c>
      <c r="J79" s="143">
        <f>VLOOKUP(A79,'ESSA Title V-B'!$A$12:$G$38,7,FALSE)</f>
        <v>0</v>
      </c>
    </row>
    <row r="80" spans="1:10" ht="18.75" x14ac:dyDescent="0.3">
      <c r="A80" s="262" t="s">
        <v>83</v>
      </c>
      <c r="B80" s="62" t="s">
        <v>261</v>
      </c>
      <c r="C80" s="143">
        <f>VLOOKUP(A80,'ESSA Title I-A Formula'!A88:G270,7,FALSE)</f>
        <v>0</v>
      </c>
      <c r="D80" s="61">
        <f>IFERROR(VLOOKUP(A80,'ESSA Title I-Delinquent'!$A$12:$G$23,5,FALSE),0)</f>
        <v>0</v>
      </c>
      <c r="E80" s="143">
        <v>0</v>
      </c>
      <c r="F80" s="143">
        <f>VLOOKUP(A80,'ESSA Title II-A Formula'!A88:G270,7,FALSE)</f>
        <v>0</v>
      </c>
      <c r="G80" s="143">
        <f>VLOOKUP(A80,'ESSA Title III-ELL '!$A$12:$G$196,7,FALSE)</f>
        <v>0</v>
      </c>
      <c r="H80" s="143">
        <v>0</v>
      </c>
      <c r="I80" s="143">
        <f>VLOOKUP(A80,'Title IV'!$A$12:$G$194,7,FALSE)</f>
        <v>0</v>
      </c>
      <c r="J80" s="143">
        <v>0</v>
      </c>
    </row>
    <row r="81" spans="1:10" ht="18.75" x14ac:dyDescent="0.3">
      <c r="A81" s="262" t="s">
        <v>84</v>
      </c>
      <c r="B81" s="62" t="s">
        <v>262</v>
      </c>
      <c r="C81" s="143">
        <f>VLOOKUP(A81,'ESSA Title I-A Formula'!A89:G271,7,FALSE)</f>
        <v>0</v>
      </c>
      <c r="D81" s="61">
        <f>IFERROR(VLOOKUP(A81,'ESSA Title I-Delinquent'!$A$12:$G$23,5,FALSE),0)</f>
        <v>0</v>
      </c>
      <c r="E81" s="143">
        <v>0</v>
      </c>
      <c r="F81" s="143">
        <f>VLOOKUP(A81,'ESSA Title II-A Formula'!A89:G271,7,FALSE)</f>
        <v>0</v>
      </c>
      <c r="G81" s="143">
        <f>VLOOKUP(A81,'ESSA Title III-ELL '!$A$12:$G$196,7,FALSE)</f>
        <v>0</v>
      </c>
      <c r="H81" s="143">
        <f>VLOOKUP(A81,'ESSA Title III SAI'!$A$12:$G$48,7,FALSE)</f>
        <v>0</v>
      </c>
      <c r="I81" s="143">
        <f>VLOOKUP(A81,'Title IV'!$A$12:$G$194,7,FALSE)</f>
        <v>0</v>
      </c>
      <c r="J81" s="143">
        <v>0</v>
      </c>
    </row>
    <row r="82" spans="1:10" ht="18.75" x14ac:dyDescent="0.3">
      <c r="A82" s="262" t="s">
        <v>85</v>
      </c>
      <c r="B82" s="62" t="s">
        <v>263</v>
      </c>
      <c r="C82" s="143">
        <f>VLOOKUP(A82,'ESSA Title I-A Formula'!A90:G272,7,FALSE)</f>
        <v>0</v>
      </c>
      <c r="D82" s="61">
        <f>IFERROR(VLOOKUP(A82,'ESSA Title I-Delinquent'!$A$12:$G$23,5,FALSE),0)</f>
        <v>0</v>
      </c>
      <c r="E82" s="143">
        <v>0</v>
      </c>
      <c r="F82" s="143">
        <f>VLOOKUP(A82,'ESSA Title II-A Formula'!A90:G272,7,FALSE)</f>
        <v>0</v>
      </c>
      <c r="G82" s="143">
        <f>VLOOKUP(A82,'ESSA Title III-ELL '!$A$12:$G$196,7,FALSE)</f>
        <v>0</v>
      </c>
      <c r="H82" s="143">
        <v>0</v>
      </c>
      <c r="I82" s="143">
        <f>VLOOKUP(A82,'Title IV'!$A$12:$G$194,7,FALSE)</f>
        <v>0</v>
      </c>
      <c r="J82" s="143">
        <v>0</v>
      </c>
    </row>
    <row r="83" spans="1:10" ht="18.75" x14ac:dyDescent="0.3">
      <c r="A83" s="262" t="s">
        <v>86</v>
      </c>
      <c r="B83" s="62" t="s">
        <v>264</v>
      </c>
      <c r="C83" s="143">
        <f>VLOOKUP(A83,'ESSA Title I-A Formula'!A91:G273,7,FALSE)</f>
        <v>0</v>
      </c>
      <c r="D83" s="61">
        <f>IFERROR(VLOOKUP(A83,'ESSA Title I-Delinquent'!$A$12:$G$23,5,FALSE),0)</f>
        <v>0</v>
      </c>
      <c r="E83" s="143">
        <v>0</v>
      </c>
      <c r="F83" s="143">
        <f>VLOOKUP(A83,'ESSA Title II-A Formula'!A91:G273,7,FALSE)</f>
        <v>0</v>
      </c>
      <c r="G83" s="143">
        <f>VLOOKUP(A83,'ESSA Title III-ELL '!$A$12:$G$196,7,FALSE)</f>
        <v>0</v>
      </c>
      <c r="H83" s="143">
        <v>0</v>
      </c>
      <c r="I83" s="143">
        <f>VLOOKUP(A83,'Title IV'!$A$12:$G$194,7,FALSE)</f>
        <v>0</v>
      </c>
      <c r="J83" s="143">
        <f>VLOOKUP(A83,'ESSA Title V-B'!$A$12:$G$38,7,FALSE)</f>
        <v>0</v>
      </c>
    </row>
    <row r="84" spans="1:10" ht="18.75" x14ac:dyDescent="0.3">
      <c r="A84" s="262" t="s">
        <v>87</v>
      </c>
      <c r="B84" s="62" t="s">
        <v>265</v>
      </c>
      <c r="C84" s="143">
        <f>VLOOKUP(A84,'ESSA Title I-A Formula'!A92:G274,7,FALSE)</f>
        <v>0</v>
      </c>
      <c r="D84" s="61">
        <f>IFERROR(VLOOKUP(A84,'ESSA Title I-Delinquent'!$A$12:$G$23,5,FALSE),0)</f>
        <v>0</v>
      </c>
      <c r="E84" s="143">
        <v>0</v>
      </c>
      <c r="F84" s="143">
        <f>VLOOKUP(A84,'ESSA Title II-A Formula'!A92:G274,7,FALSE)</f>
        <v>0</v>
      </c>
      <c r="G84" s="143">
        <f>VLOOKUP(A84,'ESSA Title III-ELL '!$A$12:$G$196,7,FALSE)</f>
        <v>0</v>
      </c>
      <c r="H84" s="143">
        <v>0</v>
      </c>
      <c r="I84" s="143">
        <f>VLOOKUP(A84,'Title IV'!$A$12:$G$194,7,FALSE)</f>
        <v>0</v>
      </c>
      <c r="J84" s="143">
        <v>0</v>
      </c>
    </row>
    <row r="85" spans="1:10" ht="18.75" x14ac:dyDescent="0.3">
      <c r="A85" s="262" t="s">
        <v>88</v>
      </c>
      <c r="B85" s="62" t="s">
        <v>266</v>
      </c>
      <c r="C85" s="143">
        <f>VLOOKUP(A85,'ESSA Title I-A Formula'!A93:G275,7,FALSE)</f>
        <v>0</v>
      </c>
      <c r="D85" s="61">
        <f>IFERROR(VLOOKUP(A85,'ESSA Title I-Delinquent'!$A$12:$G$23,5,FALSE),0)</f>
        <v>0</v>
      </c>
      <c r="E85" s="143">
        <v>0</v>
      </c>
      <c r="F85" s="143">
        <f>VLOOKUP(A85,'ESSA Title II-A Formula'!A93:G275,7,FALSE)</f>
        <v>0</v>
      </c>
      <c r="G85" s="143">
        <f>VLOOKUP(A85,'ESSA Title III-ELL '!$A$12:$G$196,7,FALSE)</f>
        <v>0</v>
      </c>
      <c r="H85" s="143">
        <v>0</v>
      </c>
      <c r="I85" s="143">
        <f>VLOOKUP(A85,'Title IV'!$A$12:$G$194,7,FALSE)</f>
        <v>0</v>
      </c>
      <c r="J85" s="143">
        <v>0</v>
      </c>
    </row>
    <row r="86" spans="1:10" ht="18.75" x14ac:dyDescent="0.3">
      <c r="A86" s="262" t="s">
        <v>89</v>
      </c>
      <c r="B86" s="62" t="s">
        <v>267</v>
      </c>
      <c r="C86" s="143">
        <f>VLOOKUP(A86,'ESSA Title I-A Formula'!A94:G276,7,FALSE)</f>
        <v>0</v>
      </c>
      <c r="D86" s="61">
        <f>IFERROR(VLOOKUP(A86,'ESSA Title I-Delinquent'!$A$12:$G$23,5,FALSE),0)</f>
        <v>0</v>
      </c>
      <c r="E86" s="143">
        <v>0</v>
      </c>
      <c r="F86" s="143">
        <f>VLOOKUP(A86,'ESSA Title II-A Formula'!A94:G276,7,FALSE)</f>
        <v>0</v>
      </c>
      <c r="G86" s="143">
        <f>VLOOKUP(A86,'ESSA Title III-ELL '!$A$12:$G$196,7,FALSE)</f>
        <v>0</v>
      </c>
      <c r="H86" s="143">
        <v>0</v>
      </c>
      <c r="I86" s="143">
        <f>VLOOKUP(A86,'Title IV'!$A$12:$G$194,7,FALSE)</f>
        <v>0</v>
      </c>
      <c r="J86" s="143">
        <v>0</v>
      </c>
    </row>
    <row r="87" spans="1:10" ht="18.75" x14ac:dyDescent="0.3">
      <c r="A87" s="262" t="s">
        <v>90</v>
      </c>
      <c r="B87" s="62" t="s">
        <v>268</v>
      </c>
      <c r="C87" s="143">
        <f>VLOOKUP(A87,'ESSA Title I-A Formula'!A95:G277,7,FALSE)</f>
        <v>0</v>
      </c>
      <c r="D87" s="61">
        <f>IFERROR(VLOOKUP(A87,'ESSA Title I-Delinquent'!$A$12:$G$23,5,FALSE),0)</f>
        <v>0</v>
      </c>
      <c r="E87" s="143">
        <v>0</v>
      </c>
      <c r="F87" s="143">
        <f>VLOOKUP(A87,'ESSA Title II-A Formula'!A95:G277,7,FALSE)</f>
        <v>0</v>
      </c>
      <c r="G87" s="143">
        <f>VLOOKUP(A87,'ESSA Title III-ELL '!$A$12:$G$196,7,FALSE)</f>
        <v>0</v>
      </c>
      <c r="H87" s="143">
        <v>0</v>
      </c>
      <c r="I87" s="143">
        <f>VLOOKUP(A87,'Title IV'!$A$12:$G$194,7,FALSE)</f>
        <v>0</v>
      </c>
      <c r="J87" s="143">
        <v>0</v>
      </c>
    </row>
    <row r="88" spans="1:10" ht="18.75" x14ac:dyDescent="0.3">
      <c r="A88" s="262" t="s">
        <v>91</v>
      </c>
      <c r="B88" s="62" t="s">
        <v>269</v>
      </c>
      <c r="C88" s="143">
        <f>VLOOKUP(A88,'ESSA Title I-A Formula'!A96:G278,7,FALSE)</f>
        <v>0</v>
      </c>
      <c r="D88" s="61">
        <f>IFERROR(VLOOKUP(A88,'ESSA Title I-Delinquent'!$A$12:$G$23,5,FALSE),0)</f>
        <v>0</v>
      </c>
      <c r="E88" s="143">
        <v>0</v>
      </c>
      <c r="F88" s="143">
        <f>VLOOKUP(A88,'ESSA Title II-A Formula'!A96:G278,7,FALSE)</f>
        <v>0</v>
      </c>
      <c r="G88" s="143">
        <f>VLOOKUP(A88,'ESSA Title III-ELL '!$A$12:$G$196,7,FALSE)</f>
        <v>0</v>
      </c>
      <c r="H88" s="143">
        <v>0</v>
      </c>
      <c r="I88" s="143">
        <f>VLOOKUP(A88,'Title IV'!$A$12:$G$194,7,FALSE)</f>
        <v>0</v>
      </c>
      <c r="J88" s="143">
        <v>0</v>
      </c>
    </row>
    <row r="89" spans="1:10" ht="18.75" x14ac:dyDescent="0.3">
      <c r="A89" s="262" t="s">
        <v>92</v>
      </c>
      <c r="B89" s="62" t="s">
        <v>270</v>
      </c>
      <c r="C89" s="143">
        <f>VLOOKUP(A89,'ESSA Title I-A Formula'!A97:G279,7,FALSE)</f>
        <v>0</v>
      </c>
      <c r="D89" s="61">
        <f>IFERROR(VLOOKUP(A89,'ESSA Title I-Delinquent'!$A$12:$G$23,5,FALSE),0)</f>
        <v>0</v>
      </c>
      <c r="E89" s="143">
        <v>0</v>
      </c>
      <c r="F89" s="143">
        <f>VLOOKUP(A89,'ESSA Title II-A Formula'!A97:G279,7,FALSE)</f>
        <v>0</v>
      </c>
      <c r="G89" s="143">
        <f>VLOOKUP(A89,'ESSA Title III-ELL '!$A$12:$G$196,7,FALSE)</f>
        <v>0</v>
      </c>
      <c r="H89" s="143">
        <v>0</v>
      </c>
      <c r="I89" s="143">
        <f>VLOOKUP(A89,'Title IV'!$A$12:$G$194,7,FALSE)</f>
        <v>0</v>
      </c>
      <c r="J89" s="143">
        <f>VLOOKUP(A89,'ESSA Title V-B'!$A$12:$G$38,7,FALSE)</f>
        <v>0</v>
      </c>
    </row>
    <row r="90" spans="1:10" ht="18.75" x14ac:dyDescent="0.3">
      <c r="A90" s="262" t="s">
        <v>93</v>
      </c>
      <c r="B90" s="62" t="s">
        <v>271</v>
      </c>
      <c r="C90" s="143">
        <f>VLOOKUP(A90,'ESSA Title I-A Formula'!A98:G280,7,FALSE)</f>
        <v>0</v>
      </c>
      <c r="D90" s="61">
        <f>VLOOKUP(A90,'ESSA Title I-Delinquent'!$A$12:$G$23,7,FALSE)</f>
        <v>25430</v>
      </c>
      <c r="E90" s="143">
        <v>0</v>
      </c>
      <c r="F90" s="143">
        <f>VLOOKUP(A90,'ESSA Title II-A Formula'!A98:G280,7,FALSE)</f>
        <v>0</v>
      </c>
      <c r="G90" s="143">
        <f>VLOOKUP(A90,'ESSA Title III-ELL '!$A$12:$G$196,7,FALSE)</f>
        <v>0</v>
      </c>
      <c r="H90" s="143">
        <v>0</v>
      </c>
      <c r="I90" s="143">
        <f>VLOOKUP(A90,'Title IV'!$A$12:$G$194,7,FALSE)</f>
        <v>0</v>
      </c>
      <c r="J90" s="143">
        <v>0</v>
      </c>
    </row>
    <row r="91" spans="1:10" ht="18.75" x14ac:dyDescent="0.3">
      <c r="A91" s="262" t="s">
        <v>94</v>
      </c>
      <c r="B91" s="62" t="s">
        <v>272</v>
      </c>
      <c r="C91" s="143">
        <f>VLOOKUP(A91,'ESSA Title I-A Formula'!A99:G281,7,FALSE)</f>
        <v>0</v>
      </c>
      <c r="D91" s="61">
        <f>IFERROR(VLOOKUP(A91,'ESSA Title I-Delinquent'!$A$12:$G$23,5,FALSE),0)</f>
        <v>0</v>
      </c>
      <c r="E91" s="143">
        <v>0</v>
      </c>
      <c r="F91" s="143">
        <f>VLOOKUP(A91,'ESSA Title II-A Formula'!A99:G281,7,FALSE)</f>
        <v>0</v>
      </c>
      <c r="G91" s="143">
        <f>VLOOKUP(A91,'ESSA Title III-ELL '!$A$12:$G$196,7,FALSE)</f>
        <v>0</v>
      </c>
      <c r="H91" s="143">
        <v>0</v>
      </c>
      <c r="I91" s="143">
        <f>VLOOKUP(A91,'Title IV'!$A$12:$G$194,7,FALSE)</f>
        <v>0</v>
      </c>
      <c r="J91" s="143">
        <v>0</v>
      </c>
    </row>
    <row r="92" spans="1:10" ht="18.75" x14ac:dyDescent="0.3">
      <c r="A92" s="262" t="s">
        <v>95</v>
      </c>
      <c r="B92" s="62" t="s">
        <v>273</v>
      </c>
      <c r="C92" s="143">
        <f>VLOOKUP(A92,'ESSA Title I-A Formula'!A100:G282,7,FALSE)</f>
        <v>0</v>
      </c>
      <c r="D92" s="61">
        <f>IFERROR(VLOOKUP(A92,'ESSA Title I-Delinquent'!$A$12:$G$23,5,FALSE),0)</f>
        <v>0</v>
      </c>
      <c r="E92" s="143">
        <v>0</v>
      </c>
      <c r="F92" s="143">
        <f>VLOOKUP(A92,'ESSA Title II-A Formula'!A100:G282,7,FALSE)</f>
        <v>0</v>
      </c>
      <c r="G92" s="143">
        <f>VLOOKUP(A92,'ESSA Title III-ELL '!$A$12:$G$196,7,FALSE)</f>
        <v>0</v>
      </c>
      <c r="H92" s="143">
        <f>VLOOKUP(A92,'ESSA Title III SAI'!$A$12:$G$48,7,FALSE)</f>
        <v>0</v>
      </c>
      <c r="I92" s="143">
        <f>VLOOKUP(A92,'Title IV'!$A$12:$G$194,7,FALSE)</f>
        <v>0</v>
      </c>
      <c r="J92" s="143">
        <v>0</v>
      </c>
    </row>
    <row r="93" spans="1:10" ht="18.75" x14ac:dyDescent="0.3">
      <c r="A93" s="262" t="s">
        <v>96</v>
      </c>
      <c r="B93" s="62" t="s">
        <v>274</v>
      </c>
      <c r="C93" s="143">
        <f>VLOOKUP(A93,'ESSA Title I-A Formula'!A101:G283,7,FALSE)</f>
        <v>0</v>
      </c>
      <c r="D93" s="61">
        <f>VLOOKUP(A93,'ESSA Title I-Delinquent'!$A$12:$G$23,7,FALSE)</f>
        <v>0</v>
      </c>
      <c r="E93" s="143">
        <v>0</v>
      </c>
      <c r="F93" s="143">
        <f>VLOOKUP(A93,'ESSA Title II-A Formula'!A101:G283,7,FALSE)</f>
        <v>0</v>
      </c>
      <c r="G93" s="143">
        <f>VLOOKUP(A93,'ESSA Title III-ELL '!$A$12:$G$196,7,FALSE)</f>
        <v>0</v>
      </c>
      <c r="H93" s="143">
        <v>0</v>
      </c>
      <c r="I93" s="143">
        <f>VLOOKUP(A93,'Title IV'!$A$12:$G$194,7,FALSE)</f>
        <v>0</v>
      </c>
      <c r="J93" s="143">
        <v>0</v>
      </c>
    </row>
    <row r="94" spans="1:10" ht="18.75" x14ac:dyDescent="0.3">
      <c r="A94" s="262" t="s">
        <v>97</v>
      </c>
      <c r="B94" s="62" t="s">
        <v>275</v>
      </c>
      <c r="C94" s="143">
        <f>VLOOKUP(A94,'ESSA Title I-A Formula'!A102:G284,7,FALSE)</f>
        <v>0</v>
      </c>
      <c r="D94" s="61">
        <f>IFERROR(VLOOKUP(A94,'ESSA Title I-Delinquent'!$A$12:$G$23,5,FALSE),0)</f>
        <v>0</v>
      </c>
      <c r="E94" s="143">
        <v>0</v>
      </c>
      <c r="F94" s="143">
        <f>VLOOKUP(A94,'ESSA Title II-A Formula'!A102:G284,7,FALSE)</f>
        <v>0</v>
      </c>
      <c r="G94" s="143">
        <f>VLOOKUP(A94,'ESSA Title III-ELL '!$A$12:$G$196,7,FALSE)</f>
        <v>0</v>
      </c>
      <c r="H94" s="143">
        <f>VLOOKUP(A94,'ESSA Title III SAI'!$A$12:$G$48,7,FALSE)</f>
        <v>569</v>
      </c>
      <c r="I94" s="143">
        <f>VLOOKUP(A94,'Title IV'!$A$12:$G$194,7,FALSE)</f>
        <v>0</v>
      </c>
      <c r="J94" s="143">
        <v>0</v>
      </c>
    </row>
    <row r="95" spans="1:10" ht="18.75" x14ac:dyDescent="0.3">
      <c r="A95" s="262" t="s">
        <v>98</v>
      </c>
      <c r="B95" s="62" t="s">
        <v>276</v>
      </c>
      <c r="C95" s="143">
        <f>VLOOKUP(A95,'ESSA Title I-A Formula'!A103:G285,7,FALSE)</f>
        <v>0</v>
      </c>
      <c r="D95" s="61">
        <f>IFERROR(VLOOKUP(A95,'ESSA Title I-Delinquent'!$A$12:$G$23,5,FALSE),0)</f>
        <v>0</v>
      </c>
      <c r="E95" s="143">
        <v>0</v>
      </c>
      <c r="F95" s="143">
        <f>VLOOKUP(A95,'ESSA Title II-A Formula'!A103:G285,7,FALSE)</f>
        <v>0</v>
      </c>
      <c r="G95" s="143">
        <f>VLOOKUP(A95,'ESSA Title III-ELL '!$A$12:$G$196,7,FALSE)</f>
        <v>0</v>
      </c>
      <c r="H95" s="143">
        <f>VLOOKUP(A95,'ESSA Title III SAI'!$A$12:$G$48,7,FALSE)</f>
        <v>0</v>
      </c>
      <c r="I95" s="143">
        <f>VLOOKUP(A95,'Title IV'!$A$12:$G$194,7,FALSE)</f>
        <v>16941.98</v>
      </c>
      <c r="J95" s="143">
        <f>VLOOKUP(A95,'ESSA Title V-B'!$A$12:$G$38,7,FALSE)</f>
        <v>11095.64</v>
      </c>
    </row>
    <row r="96" spans="1:10" ht="18.75" x14ac:dyDescent="0.3">
      <c r="A96" s="262" t="s">
        <v>99</v>
      </c>
      <c r="B96" s="62" t="s">
        <v>277</v>
      </c>
      <c r="C96" s="143">
        <f>VLOOKUP(A96,'ESSA Title I-A Formula'!A104:G286,7,FALSE)</f>
        <v>0</v>
      </c>
      <c r="D96" s="61">
        <f>IFERROR(VLOOKUP(A96,'ESSA Title I-Delinquent'!$A$12:$G$23,5,FALSE),0)</f>
        <v>0</v>
      </c>
      <c r="E96" s="143">
        <v>0</v>
      </c>
      <c r="F96" s="143">
        <f>VLOOKUP(A96,'ESSA Title II-A Formula'!A104:G286,7,FALSE)</f>
        <v>0</v>
      </c>
      <c r="G96" s="143">
        <f>VLOOKUP(A96,'ESSA Title III-ELL '!$A$12:$G$196,7,FALSE)</f>
        <v>0</v>
      </c>
      <c r="H96" s="143">
        <v>0</v>
      </c>
      <c r="I96" s="143">
        <f>VLOOKUP(A96,'Title IV'!$A$12:$G$194,7,FALSE)</f>
        <v>0</v>
      </c>
      <c r="J96" s="143">
        <f>VLOOKUP(A96,'ESSA Title V-B'!$A$12:$G$38,7,FALSE)</f>
        <v>0</v>
      </c>
    </row>
    <row r="97" spans="1:10" ht="18.75" x14ac:dyDescent="0.3">
      <c r="A97" s="262" t="s">
        <v>100</v>
      </c>
      <c r="B97" s="62" t="s">
        <v>278</v>
      </c>
      <c r="C97" s="143">
        <f>VLOOKUP(A97,'ESSA Title I-A Formula'!A105:G287,7,FALSE)</f>
        <v>0</v>
      </c>
      <c r="D97" s="61">
        <f>IFERROR(VLOOKUP(A97,'ESSA Title I-Delinquent'!$A$12:$G$23,5,FALSE),0)</f>
        <v>0</v>
      </c>
      <c r="E97" s="143">
        <v>0</v>
      </c>
      <c r="F97" s="143">
        <f>VLOOKUP(A97,'ESSA Title II-A Formula'!A105:G287,7,FALSE)</f>
        <v>0</v>
      </c>
      <c r="G97" s="143">
        <f>VLOOKUP(A97,'ESSA Title III-ELL '!$A$12:$G$196,7,FALSE)</f>
        <v>0</v>
      </c>
      <c r="H97" s="143">
        <v>0</v>
      </c>
      <c r="I97" s="143">
        <f>VLOOKUP(A97,'Title IV'!$A$12:$G$194,7,FALSE)</f>
        <v>0</v>
      </c>
      <c r="J97" s="143">
        <f>VLOOKUP(A97,'ESSA Title V-B'!$A$12:$G$38,7,FALSE)</f>
        <v>0</v>
      </c>
    </row>
    <row r="98" spans="1:10" ht="18.75" x14ac:dyDescent="0.3">
      <c r="A98" s="262" t="s">
        <v>101</v>
      </c>
      <c r="B98" s="62" t="s">
        <v>279</v>
      </c>
      <c r="C98" s="143">
        <f>VLOOKUP(A98,'ESSA Title I-A Formula'!A106:G288,7,FALSE)</f>
        <v>0</v>
      </c>
      <c r="D98" s="61">
        <f>IFERROR(VLOOKUP(A98,'ESSA Title I-Delinquent'!$A$12:$G$23,5,FALSE),0)</f>
        <v>0</v>
      </c>
      <c r="E98" s="143">
        <v>0</v>
      </c>
      <c r="F98" s="143">
        <f>VLOOKUP(A98,'ESSA Title II-A Formula'!A106:G288,7,FALSE)</f>
        <v>0</v>
      </c>
      <c r="G98" s="143">
        <f>VLOOKUP(A98,'ESSA Title III-ELL '!$A$12:$G$196,7,FALSE)</f>
        <v>0</v>
      </c>
      <c r="H98" s="143">
        <v>0</v>
      </c>
      <c r="I98" s="143">
        <f>VLOOKUP(A98,'Title IV'!$A$12:$G$194,7,FALSE)</f>
        <v>0</v>
      </c>
      <c r="J98" s="143">
        <v>0</v>
      </c>
    </row>
    <row r="99" spans="1:10" ht="18.75" x14ac:dyDescent="0.3">
      <c r="A99" s="262" t="s">
        <v>102</v>
      </c>
      <c r="B99" s="62" t="s">
        <v>280</v>
      </c>
      <c r="C99" s="143">
        <f>VLOOKUP(A99,'ESSA Title I-A Formula'!A107:G289,7,FALSE)</f>
        <v>0</v>
      </c>
      <c r="D99" s="61">
        <f>IFERROR(VLOOKUP(A99,'ESSA Title I-Delinquent'!$A$12:$G$23,5,FALSE),0)</f>
        <v>0</v>
      </c>
      <c r="E99" s="143">
        <v>0</v>
      </c>
      <c r="F99" s="143">
        <f>VLOOKUP(A99,'ESSA Title II-A Formula'!A107:G289,7,FALSE)</f>
        <v>0</v>
      </c>
      <c r="G99" s="143">
        <f>VLOOKUP(A99,'ESSA Title III-ELL '!$A$12:$G$196,7,FALSE)</f>
        <v>0</v>
      </c>
      <c r="H99" s="143">
        <v>0</v>
      </c>
      <c r="I99" s="143">
        <f>VLOOKUP(A99,'Title IV'!$A$12:$G$194,7,FALSE)</f>
        <v>0</v>
      </c>
      <c r="J99" s="143">
        <f>VLOOKUP(A99,'ESSA Title V-B'!$A$12:$G$38,7,FALSE)</f>
        <v>0</v>
      </c>
    </row>
    <row r="100" spans="1:10" ht="18.75" x14ac:dyDescent="0.3">
      <c r="A100" s="262" t="s">
        <v>103</v>
      </c>
      <c r="B100" s="62" t="s">
        <v>281</v>
      </c>
      <c r="C100" s="143">
        <f>VLOOKUP(A100,'ESSA Title I-A Formula'!A108:G290,7,FALSE)</f>
        <v>0</v>
      </c>
      <c r="D100" s="61">
        <f>IFERROR(VLOOKUP(A100,'ESSA Title I-Delinquent'!$A$12:$G$23,5,FALSE),0)</f>
        <v>0</v>
      </c>
      <c r="E100" s="143">
        <v>0</v>
      </c>
      <c r="F100" s="143">
        <f>VLOOKUP(A100,'ESSA Title II-A Formula'!A108:G290,7,FALSE)</f>
        <v>0</v>
      </c>
      <c r="G100" s="143">
        <f>VLOOKUP(A100,'ESSA Title III-ELL '!$A$12:$G$196,7,FALSE)</f>
        <v>0</v>
      </c>
      <c r="H100" s="143">
        <v>0</v>
      </c>
      <c r="I100" s="143">
        <f>VLOOKUP(A100,'Title IV'!$A$12:$G$194,7,FALSE)</f>
        <v>0</v>
      </c>
      <c r="J100" s="143">
        <v>0</v>
      </c>
    </row>
    <row r="101" spans="1:10" ht="18.75" x14ac:dyDescent="0.3">
      <c r="A101" s="262" t="s">
        <v>104</v>
      </c>
      <c r="B101" s="62" t="s">
        <v>282</v>
      </c>
      <c r="C101" s="143">
        <f>VLOOKUP(A101,'ESSA Title I-A Formula'!A109:G291,7,FALSE)</f>
        <v>0</v>
      </c>
      <c r="D101" s="61">
        <f>IFERROR(VLOOKUP(A101,'ESSA Title I-Delinquent'!$A$12:$G$23,5,FALSE),0)</f>
        <v>0</v>
      </c>
      <c r="E101" s="143">
        <v>0</v>
      </c>
      <c r="F101" s="143">
        <f>VLOOKUP(A101,'ESSA Title II-A Formula'!A109:G291,7,FALSE)</f>
        <v>0</v>
      </c>
      <c r="G101" s="143">
        <f>VLOOKUP(A101,'ESSA Title III-ELL '!$A$12:$G$196,7,FALSE)</f>
        <v>0</v>
      </c>
      <c r="H101" s="143">
        <v>0</v>
      </c>
      <c r="I101" s="143">
        <f>VLOOKUP(A101,'Title IV'!$A$12:$G$194,7,FALSE)</f>
        <v>0</v>
      </c>
      <c r="J101" s="143">
        <v>0</v>
      </c>
    </row>
    <row r="102" spans="1:10" ht="18.75" x14ac:dyDescent="0.3">
      <c r="A102" s="262" t="s">
        <v>105</v>
      </c>
      <c r="B102" s="62" t="s">
        <v>283</v>
      </c>
      <c r="C102" s="143">
        <f>VLOOKUP(A102,'ESSA Title I-A Formula'!A110:G292,7,FALSE)</f>
        <v>0</v>
      </c>
      <c r="D102" s="61">
        <f>IFERROR(VLOOKUP(A102,'ESSA Title I-Delinquent'!$A$12:$G$23,5,FALSE),0)</f>
        <v>0</v>
      </c>
      <c r="E102" s="143">
        <v>0</v>
      </c>
      <c r="F102" s="143">
        <f>VLOOKUP(A102,'ESSA Title II-A Formula'!A110:G292,7,FALSE)</f>
        <v>0</v>
      </c>
      <c r="G102" s="143">
        <f>VLOOKUP(A102,'ESSA Title III-ELL '!$A$12:$G$196,7,FALSE)</f>
        <v>0</v>
      </c>
      <c r="H102" s="143">
        <v>0</v>
      </c>
      <c r="I102" s="143">
        <f>VLOOKUP(A102,'Title IV'!$A$12:$G$194,7,FALSE)</f>
        <v>0</v>
      </c>
      <c r="J102" s="143">
        <v>0</v>
      </c>
    </row>
    <row r="103" spans="1:10" ht="18.75" x14ac:dyDescent="0.3">
      <c r="A103" s="262" t="s">
        <v>106</v>
      </c>
      <c r="B103" s="62" t="s">
        <v>284</v>
      </c>
      <c r="C103" s="143">
        <f>VLOOKUP(A103,'ESSA Title I-A Formula'!A111:G293,7,FALSE)</f>
        <v>0</v>
      </c>
      <c r="D103" s="61">
        <f>IFERROR(VLOOKUP(A103,'ESSA Title I-Delinquent'!$A$12:$G$23,5,FALSE),0)</f>
        <v>0</v>
      </c>
      <c r="E103" s="143">
        <v>0</v>
      </c>
      <c r="F103" s="143">
        <f>VLOOKUP(A103,'ESSA Title II-A Formula'!A111:G293,7,FALSE)</f>
        <v>0</v>
      </c>
      <c r="G103" s="143">
        <f>VLOOKUP(A103,'ESSA Title III-ELL '!$A$12:$G$196,7,FALSE)</f>
        <v>0</v>
      </c>
      <c r="H103" s="143">
        <v>0</v>
      </c>
      <c r="I103" s="143">
        <f>VLOOKUP(A103,'Title IV'!$A$12:$G$194,7,FALSE)</f>
        <v>0</v>
      </c>
      <c r="J103" s="143">
        <v>0</v>
      </c>
    </row>
    <row r="104" spans="1:10" ht="18.75" x14ac:dyDescent="0.3">
      <c r="A104" s="262" t="s">
        <v>107</v>
      </c>
      <c r="B104" s="62" t="s">
        <v>285</v>
      </c>
      <c r="C104" s="143">
        <f>VLOOKUP(A104,'ESSA Title I-A Formula'!A112:G294,7,FALSE)</f>
        <v>0</v>
      </c>
      <c r="D104" s="61">
        <f>IFERROR(VLOOKUP(A104,'ESSA Title I-Delinquent'!$A$12:$G$23,5,FALSE),0)</f>
        <v>0</v>
      </c>
      <c r="E104" s="143">
        <v>0</v>
      </c>
      <c r="F104" s="143">
        <f>VLOOKUP(A104,'ESSA Title II-A Formula'!A112:G294,7,FALSE)</f>
        <v>0</v>
      </c>
      <c r="G104" s="143">
        <f>VLOOKUP(A104,'ESSA Title III-ELL '!$A$12:$G$196,7,FALSE)</f>
        <v>0</v>
      </c>
      <c r="H104" s="143">
        <v>0</v>
      </c>
      <c r="I104" s="143">
        <f>VLOOKUP(A104,'Title IV'!$A$12:$G$194,7,FALSE)</f>
        <v>0</v>
      </c>
      <c r="J104" s="143">
        <v>0</v>
      </c>
    </row>
    <row r="105" spans="1:10" ht="18.75" x14ac:dyDescent="0.3">
      <c r="A105" s="262" t="s">
        <v>108</v>
      </c>
      <c r="B105" s="62" t="s">
        <v>286</v>
      </c>
      <c r="C105" s="143">
        <f>VLOOKUP(A105,'ESSA Title I-A Formula'!A113:G295,7,FALSE)</f>
        <v>0</v>
      </c>
      <c r="D105" s="61">
        <f>IFERROR(VLOOKUP(A105,'ESSA Title I-Delinquent'!$A$12:$G$23,5,FALSE),0)</f>
        <v>0</v>
      </c>
      <c r="E105" s="143">
        <v>0</v>
      </c>
      <c r="F105" s="143">
        <f>VLOOKUP(A105,'ESSA Title II-A Formula'!A113:G295,7,FALSE)</f>
        <v>0</v>
      </c>
      <c r="G105" s="143">
        <f>VLOOKUP(A105,'ESSA Title III-ELL '!$A$12:$G$196,7,FALSE)</f>
        <v>0</v>
      </c>
      <c r="H105" s="143">
        <v>0</v>
      </c>
      <c r="I105" s="143">
        <f>VLOOKUP(A105,'Title IV'!$A$12:$G$194,7,FALSE)</f>
        <v>0</v>
      </c>
      <c r="J105" s="143">
        <v>0</v>
      </c>
    </row>
    <row r="106" spans="1:10" ht="18.75" x14ac:dyDescent="0.3">
      <c r="A106" s="262" t="s">
        <v>109</v>
      </c>
      <c r="B106" s="62" t="s">
        <v>287</v>
      </c>
      <c r="C106" s="143">
        <f>VLOOKUP(A106,'ESSA Title I-A Formula'!A114:G296,7,FALSE)</f>
        <v>0</v>
      </c>
      <c r="D106" s="61">
        <f>IFERROR(VLOOKUP(A106,'ESSA Title I-Delinquent'!$A$12:$G$23,5,FALSE),0)</f>
        <v>0</v>
      </c>
      <c r="E106" s="143">
        <v>0</v>
      </c>
      <c r="F106" s="143">
        <f>VLOOKUP(A106,'ESSA Title II-A Formula'!A114:G296,7,FALSE)</f>
        <v>0</v>
      </c>
      <c r="G106" s="143">
        <f>VLOOKUP(A106,'ESSA Title III-ELL '!$A$12:$G$196,7,FALSE)</f>
        <v>0</v>
      </c>
      <c r="H106" s="143">
        <v>0</v>
      </c>
      <c r="I106" s="143">
        <f>VLOOKUP(A106,'Title IV'!$A$12:$G$194,7,FALSE)</f>
        <v>0</v>
      </c>
      <c r="J106" s="143">
        <v>0</v>
      </c>
    </row>
    <row r="107" spans="1:10" ht="18.75" x14ac:dyDescent="0.3">
      <c r="A107" s="262" t="s">
        <v>110</v>
      </c>
      <c r="B107" s="62" t="s">
        <v>288</v>
      </c>
      <c r="C107" s="143">
        <f>VLOOKUP(A107,'ESSA Title I-A Formula'!A115:G297,7,FALSE)</f>
        <v>0</v>
      </c>
      <c r="D107" s="61">
        <f>IFERROR(VLOOKUP(A107,'ESSA Title I-Delinquent'!$A$12:$G$23,5,FALSE),0)</f>
        <v>0</v>
      </c>
      <c r="E107" s="143">
        <v>0</v>
      </c>
      <c r="F107" s="143">
        <f>VLOOKUP(A107,'ESSA Title II-A Formula'!A115:G297,7,FALSE)</f>
        <v>0</v>
      </c>
      <c r="G107" s="143">
        <f>VLOOKUP(A107,'ESSA Title III-ELL '!$A$12:$G$196,7,FALSE)</f>
        <v>0</v>
      </c>
      <c r="H107" s="143">
        <v>0</v>
      </c>
      <c r="I107" s="143">
        <f>VLOOKUP(A107,'Title IV'!$A$12:$G$194,7,FALSE)</f>
        <v>0</v>
      </c>
      <c r="J107" s="143">
        <v>0</v>
      </c>
    </row>
    <row r="108" spans="1:10" ht="18.75" x14ac:dyDescent="0.3">
      <c r="A108" s="262" t="s">
        <v>111</v>
      </c>
      <c r="B108" s="62" t="s">
        <v>289</v>
      </c>
      <c r="C108" s="143">
        <f>VLOOKUP(A108,'ESSA Title I-A Formula'!A116:G298,7,FALSE)</f>
        <v>0</v>
      </c>
      <c r="D108" s="61">
        <f>IFERROR(VLOOKUP(A108,'ESSA Title I-Delinquent'!$A$12:$G$23,5,FALSE),0)</f>
        <v>0</v>
      </c>
      <c r="E108" s="143">
        <v>0</v>
      </c>
      <c r="F108" s="143">
        <f>VLOOKUP(A108,'ESSA Title II-A Formula'!A116:G298,7,FALSE)</f>
        <v>0</v>
      </c>
      <c r="G108" s="143">
        <f>VLOOKUP(A108,'ESSA Title III-ELL '!$A$12:$G$196,7,FALSE)</f>
        <v>0</v>
      </c>
      <c r="H108" s="143">
        <v>0</v>
      </c>
      <c r="I108" s="143">
        <f>VLOOKUP(A108,'Title IV'!$A$12:$G$194,7,FALSE)</f>
        <v>0</v>
      </c>
      <c r="J108" s="143">
        <v>0</v>
      </c>
    </row>
    <row r="109" spans="1:10" ht="18.75" x14ac:dyDescent="0.3">
      <c r="A109" s="262" t="s">
        <v>112</v>
      </c>
      <c r="B109" s="62" t="s">
        <v>290</v>
      </c>
      <c r="C109" s="143">
        <f>VLOOKUP(A109,'ESSA Title I-A Formula'!A117:G299,7,FALSE)</f>
        <v>0</v>
      </c>
      <c r="D109" s="61">
        <f>IFERROR(VLOOKUP(A109,'ESSA Title I-Delinquent'!$A$12:$G$23,5,FALSE),0)</f>
        <v>0</v>
      </c>
      <c r="E109" s="143">
        <v>0</v>
      </c>
      <c r="F109" s="143">
        <f>VLOOKUP(A109,'ESSA Title II-A Formula'!A117:G299,7,FALSE)</f>
        <v>0</v>
      </c>
      <c r="G109" s="143">
        <f>VLOOKUP(A109,'ESSA Title III-ELL '!$A$12:$G$196,7,FALSE)</f>
        <v>0</v>
      </c>
      <c r="H109" s="143">
        <f>VLOOKUP(A109,'ESSA Title III SAI'!$A$12:$G$48,7,FALSE)</f>
        <v>0</v>
      </c>
      <c r="I109" s="143">
        <f>VLOOKUP(A109,'Title IV'!$A$12:$G$194,7,FALSE)</f>
        <v>0</v>
      </c>
      <c r="J109" s="143">
        <v>0</v>
      </c>
    </row>
    <row r="110" spans="1:10" ht="18.75" x14ac:dyDescent="0.3">
      <c r="A110" s="262" t="s">
        <v>113</v>
      </c>
      <c r="B110" s="62" t="s">
        <v>291</v>
      </c>
      <c r="C110" s="143">
        <f>VLOOKUP(A110,'ESSA Title I-A Formula'!A118:G300,7,FALSE)</f>
        <v>0</v>
      </c>
      <c r="D110" s="61">
        <f>IFERROR(VLOOKUP(A110,'ESSA Title I-Delinquent'!$A$12:$G$23,5,FALSE),0)</f>
        <v>0</v>
      </c>
      <c r="E110" s="143">
        <v>0</v>
      </c>
      <c r="F110" s="143">
        <f>VLOOKUP(A110,'ESSA Title II-A Formula'!A118:G300,7,FALSE)</f>
        <v>0</v>
      </c>
      <c r="G110" s="143">
        <f>VLOOKUP(A110,'ESSA Title III-ELL '!$A$12:$G$196,7,FALSE)</f>
        <v>0</v>
      </c>
      <c r="H110" s="143">
        <v>0</v>
      </c>
      <c r="I110" s="143">
        <f>VLOOKUP(A110,'Title IV'!$A$12:$G$194,7,FALSE)</f>
        <v>0</v>
      </c>
      <c r="J110" s="143">
        <v>0</v>
      </c>
    </row>
    <row r="111" spans="1:10" ht="18.75" x14ac:dyDescent="0.3">
      <c r="A111" s="262" t="s">
        <v>114</v>
      </c>
      <c r="B111" s="62" t="s">
        <v>292</v>
      </c>
      <c r="C111" s="143">
        <f>VLOOKUP(A111,'ESSA Title I-A Formula'!A119:G301,7,FALSE)</f>
        <v>0</v>
      </c>
      <c r="D111" s="61">
        <f>VLOOKUP(A111,'ESSA Title I-Delinquent'!$A$12:$G$23,7,FALSE)</f>
        <v>0</v>
      </c>
      <c r="E111" s="143">
        <v>0</v>
      </c>
      <c r="F111" s="143">
        <f>VLOOKUP(A111,'ESSA Title II-A Formula'!A119:G301,7,FALSE)</f>
        <v>0</v>
      </c>
      <c r="G111" s="143">
        <f>VLOOKUP(A111,'ESSA Title III-ELL '!$A$12:$G$196,7,FALSE)</f>
        <v>0</v>
      </c>
      <c r="H111" s="143">
        <v>0</v>
      </c>
      <c r="I111" s="143">
        <f>VLOOKUP(A111,'Title IV'!$A$12:$G$194,7,FALSE)</f>
        <v>0</v>
      </c>
      <c r="J111" s="143">
        <v>0</v>
      </c>
    </row>
    <row r="112" spans="1:10" ht="18.75" x14ac:dyDescent="0.3">
      <c r="A112" s="262" t="s">
        <v>115</v>
      </c>
      <c r="B112" s="62" t="s">
        <v>293</v>
      </c>
      <c r="C112" s="143">
        <f>VLOOKUP(A112,'ESSA Title I-A Formula'!A120:G302,7,FALSE)</f>
        <v>0</v>
      </c>
      <c r="D112" s="61">
        <f>IFERROR(VLOOKUP(A112,'ESSA Title I-Delinquent'!$A$12:$G$23,5,FALSE),0)</f>
        <v>0</v>
      </c>
      <c r="E112" s="143">
        <v>0</v>
      </c>
      <c r="F112" s="143">
        <f>VLOOKUP(A112,'ESSA Title II-A Formula'!A120:G302,7,FALSE)</f>
        <v>0</v>
      </c>
      <c r="G112" s="143">
        <f>VLOOKUP(A112,'ESSA Title III-ELL '!$A$12:$G$196,7,FALSE)</f>
        <v>0</v>
      </c>
      <c r="H112" s="143">
        <v>0</v>
      </c>
      <c r="I112" s="143">
        <f>VLOOKUP(A112,'Title IV'!$A$12:$G$194,7,FALSE)</f>
        <v>0</v>
      </c>
      <c r="J112" s="143">
        <v>0</v>
      </c>
    </row>
    <row r="113" spans="1:10" ht="18.75" x14ac:dyDescent="0.3">
      <c r="A113" s="262" t="s">
        <v>116</v>
      </c>
      <c r="B113" s="62" t="s">
        <v>294</v>
      </c>
      <c r="C113" s="143">
        <f>VLOOKUP(A113,'ESSA Title I-A Formula'!A121:G303,7,FALSE)</f>
        <v>0</v>
      </c>
      <c r="D113" s="61">
        <f>IFERROR(VLOOKUP(A113,'ESSA Title I-Delinquent'!$A$12:$G$23,5,FALSE),0)</f>
        <v>0</v>
      </c>
      <c r="E113" s="143">
        <v>0</v>
      </c>
      <c r="F113" s="143">
        <f>VLOOKUP(A113,'ESSA Title II-A Formula'!A121:G303,7,FALSE)</f>
        <v>0</v>
      </c>
      <c r="G113" s="143">
        <f>VLOOKUP(A113,'ESSA Title III-ELL '!$A$12:$G$196,7,FALSE)</f>
        <v>0</v>
      </c>
      <c r="H113" s="143">
        <v>0</v>
      </c>
      <c r="I113" s="143">
        <f>VLOOKUP(A113,'Title IV'!$A$12:$G$194,7,FALSE)</f>
        <v>0</v>
      </c>
      <c r="J113" s="143">
        <v>0</v>
      </c>
    </row>
    <row r="114" spans="1:10" ht="18.75" x14ac:dyDescent="0.3">
      <c r="A114" s="262" t="s">
        <v>117</v>
      </c>
      <c r="B114" s="62" t="s">
        <v>295</v>
      </c>
      <c r="C114" s="143">
        <f>VLOOKUP(A114,'ESSA Title I-A Formula'!A122:G304,7,FALSE)</f>
        <v>0</v>
      </c>
      <c r="D114" s="61">
        <f>IFERROR(VLOOKUP(A114,'ESSA Title I-Delinquent'!$A$12:$G$23,5,FALSE),0)</f>
        <v>0</v>
      </c>
      <c r="E114" s="143">
        <v>0</v>
      </c>
      <c r="F114" s="143">
        <f>VLOOKUP(A114,'ESSA Title II-A Formula'!A122:G304,7,FALSE)</f>
        <v>0</v>
      </c>
      <c r="G114" s="143">
        <f>VLOOKUP(A114,'ESSA Title III-ELL '!$A$12:$G$196,7,FALSE)</f>
        <v>38.559999999999491</v>
      </c>
      <c r="H114" s="143">
        <v>0</v>
      </c>
      <c r="I114" s="143">
        <f>VLOOKUP(A114,'Title IV'!$A$12:$G$194,7,FALSE)</f>
        <v>0</v>
      </c>
      <c r="J114" s="143">
        <f>VLOOKUP(A114,'ESSA Title V-B'!$A$12:$G$38,7,FALSE)</f>
        <v>0</v>
      </c>
    </row>
    <row r="115" spans="1:10" ht="18.75" x14ac:dyDescent="0.3">
      <c r="A115" s="262" t="s">
        <v>118</v>
      </c>
      <c r="B115" s="62" t="s">
        <v>296</v>
      </c>
      <c r="C115" s="143">
        <f>VLOOKUP(A115,'ESSA Title I-A Formula'!A123:G305,7,FALSE)</f>
        <v>0</v>
      </c>
      <c r="D115" s="61">
        <f>IFERROR(VLOOKUP(A115,'ESSA Title I-Delinquent'!$A$12:$G$23,5,FALSE),0)</f>
        <v>0</v>
      </c>
      <c r="E115" s="143">
        <v>0</v>
      </c>
      <c r="F115" s="143">
        <f>VLOOKUP(A115,'ESSA Title II-A Formula'!A123:G305,7,FALSE)</f>
        <v>0</v>
      </c>
      <c r="G115" s="143">
        <f>VLOOKUP(A115,'ESSA Title III-ELL '!$A$12:$G$196,7,FALSE)</f>
        <v>0</v>
      </c>
      <c r="H115" s="143">
        <v>0</v>
      </c>
      <c r="I115" s="143">
        <f>VLOOKUP(A115,'Title IV'!$A$12:$G$194,7,FALSE)</f>
        <v>0</v>
      </c>
      <c r="J115" s="143">
        <v>0</v>
      </c>
    </row>
    <row r="116" spans="1:10" ht="18.75" x14ac:dyDescent="0.3">
      <c r="A116" s="262" t="s">
        <v>119</v>
      </c>
      <c r="B116" s="62" t="s">
        <v>297</v>
      </c>
      <c r="C116" s="143">
        <f>VLOOKUP(A116,'ESSA Title I-A Formula'!A124:G306,7,FALSE)</f>
        <v>0</v>
      </c>
      <c r="D116" s="61">
        <f>IFERROR(VLOOKUP(A116,'ESSA Title I-Delinquent'!$A$12:$G$23,5,FALSE),0)</f>
        <v>0</v>
      </c>
      <c r="E116" s="143">
        <v>0</v>
      </c>
      <c r="F116" s="143">
        <f>VLOOKUP(A116,'ESSA Title II-A Formula'!A124:G306,7,FALSE)</f>
        <v>0</v>
      </c>
      <c r="G116" s="143">
        <f>VLOOKUP(A116,'ESSA Title III-ELL '!$A$12:$G$196,7,FALSE)</f>
        <v>0</v>
      </c>
      <c r="H116" s="143">
        <v>0</v>
      </c>
      <c r="I116" s="143">
        <f>VLOOKUP(A116,'Title IV'!$A$12:$G$194,7,FALSE)</f>
        <v>0</v>
      </c>
      <c r="J116" s="143">
        <v>0</v>
      </c>
    </row>
    <row r="117" spans="1:10" ht="18.75" x14ac:dyDescent="0.3">
      <c r="A117" s="262" t="s">
        <v>120</v>
      </c>
      <c r="B117" s="62" t="s">
        <v>298</v>
      </c>
      <c r="C117" s="143">
        <f>VLOOKUP(A117,'ESSA Title I-A Formula'!A125:G307,7,FALSE)</f>
        <v>0</v>
      </c>
      <c r="D117" s="61">
        <f>IFERROR(VLOOKUP(A117,'ESSA Title I-Delinquent'!$A$12:$G$23,5,FALSE),0)</f>
        <v>0</v>
      </c>
      <c r="E117" s="143">
        <v>0</v>
      </c>
      <c r="F117" s="143">
        <f>VLOOKUP(A117,'ESSA Title II-A Formula'!A125:G307,7,FALSE)</f>
        <v>0</v>
      </c>
      <c r="G117" s="143">
        <f>VLOOKUP(A117,'ESSA Title III-ELL '!$A$12:$G$196,7,FALSE)</f>
        <v>0</v>
      </c>
      <c r="H117" s="143">
        <f>VLOOKUP(A117,'ESSA Title III SAI'!$A$12:$G$48,7,FALSE)</f>
        <v>427</v>
      </c>
      <c r="I117" s="143">
        <f>VLOOKUP(A117,'Title IV'!$A$12:$G$194,7,FALSE)</f>
        <v>0</v>
      </c>
      <c r="J117" s="143">
        <f>VLOOKUP(A117,'ESSA Title V-B'!$A$12:$G$38,7,FALSE)</f>
        <v>0.38000000000465661</v>
      </c>
    </row>
    <row r="118" spans="1:10" ht="18.75" x14ac:dyDescent="0.3">
      <c r="A118" s="262" t="s">
        <v>121</v>
      </c>
      <c r="B118" s="62" t="s">
        <v>299</v>
      </c>
      <c r="C118" s="143">
        <f>VLOOKUP(A118,'ESSA Title I-A Formula'!A126:G308,7,FALSE)</f>
        <v>0</v>
      </c>
      <c r="D118" s="61">
        <f>IFERROR(VLOOKUP(A118,'ESSA Title I-Delinquent'!$A$12:$G$23,5,FALSE),0)</f>
        <v>0</v>
      </c>
      <c r="E118" s="143">
        <v>0</v>
      </c>
      <c r="F118" s="143">
        <f>VLOOKUP(A118,'ESSA Title II-A Formula'!A126:G308,7,FALSE)</f>
        <v>0</v>
      </c>
      <c r="G118" s="143">
        <f>VLOOKUP(A118,'ESSA Title III-ELL '!$A$12:$G$196,7,FALSE)</f>
        <v>0</v>
      </c>
      <c r="H118" s="143">
        <v>0</v>
      </c>
      <c r="I118" s="143">
        <f>VLOOKUP(A118,'Title IV'!$A$12:$G$194,7,FALSE)</f>
        <v>0</v>
      </c>
      <c r="J118" s="143">
        <v>0</v>
      </c>
    </row>
    <row r="119" spans="1:10" ht="18.75" x14ac:dyDescent="0.3">
      <c r="A119" s="262" t="s">
        <v>122</v>
      </c>
      <c r="B119" s="62" t="s">
        <v>300</v>
      </c>
      <c r="C119" s="143">
        <f>VLOOKUP(A119,'ESSA Title I-A Formula'!A127:G309,7,FALSE)</f>
        <v>0</v>
      </c>
      <c r="D119" s="61">
        <f>IFERROR(VLOOKUP(A119,'ESSA Title I-Delinquent'!$A$12:$G$23,5,FALSE),0)</f>
        <v>0</v>
      </c>
      <c r="E119" s="143">
        <v>0</v>
      </c>
      <c r="F119" s="143">
        <f>VLOOKUP(A119,'ESSA Title II-A Formula'!A127:G309,7,FALSE)</f>
        <v>0</v>
      </c>
      <c r="G119" s="143">
        <f>VLOOKUP(A119,'ESSA Title III-ELL '!$A$12:$G$196,7,FALSE)</f>
        <v>0</v>
      </c>
      <c r="H119" s="143">
        <v>0</v>
      </c>
      <c r="I119" s="143">
        <f>VLOOKUP(A119,'Title IV'!$A$12:$G$194,7,FALSE)</f>
        <v>0</v>
      </c>
      <c r="J119" s="143">
        <v>0</v>
      </c>
    </row>
    <row r="120" spans="1:10" ht="18.75" x14ac:dyDescent="0.3">
      <c r="A120" s="262" t="s">
        <v>123</v>
      </c>
      <c r="B120" s="62" t="s">
        <v>301</v>
      </c>
      <c r="C120" s="143">
        <f>VLOOKUP(A120,'ESSA Title I-A Formula'!A128:G310,7,FALSE)</f>
        <v>0</v>
      </c>
      <c r="D120" s="61">
        <f>IFERROR(VLOOKUP(A120,'ESSA Title I-Delinquent'!$A$12:$G$23,5,FALSE),0)</f>
        <v>0</v>
      </c>
      <c r="E120" s="143">
        <v>0</v>
      </c>
      <c r="F120" s="143">
        <f>VLOOKUP(A120,'ESSA Title II-A Formula'!A128:G310,7,FALSE)</f>
        <v>0</v>
      </c>
      <c r="G120" s="143">
        <f>VLOOKUP(A120,'ESSA Title III-ELL '!$A$12:$G$196,7,FALSE)</f>
        <v>0</v>
      </c>
      <c r="H120" s="143">
        <f>VLOOKUP(A120,'ESSA Title III SAI'!$A$12:$G$48,7,FALSE)</f>
        <v>0</v>
      </c>
      <c r="I120" s="143">
        <f>VLOOKUP(A120,'Title IV'!$A$12:$G$194,7,FALSE)</f>
        <v>0</v>
      </c>
      <c r="J120" s="143">
        <v>0</v>
      </c>
    </row>
    <row r="121" spans="1:10" ht="18.75" x14ac:dyDescent="0.3">
      <c r="A121" s="262" t="s">
        <v>124</v>
      </c>
      <c r="B121" s="62" t="s">
        <v>302</v>
      </c>
      <c r="C121" s="143">
        <f>VLOOKUP(A121,'ESSA Title I-A Formula'!A129:G311,7,FALSE)</f>
        <v>0</v>
      </c>
      <c r="D121" s="61">
        <f>IFERROR(VLOOKUP(A121,'ESSA Title I-Delinquent'!$A$12:$G$23,5,FALSE),0)</f>
        <v>0</v>
      </c>
      <c r="E121" s="143">
        <v>0</v>
      </c>
      <c r="F121" s="143">
        <f>VLOOKUP(A121,'ESSA Title II-A Formula'!A129:G311,7,FALSE)</f>
        <v>0</v>
      </c>
      <c r="G121" s="143">
        <f>VLOOKUP(A121,'ESSA Title III-ELL '!$A$12:$G$196,7,FALSE)</f>
        <v>0</v>
      </c>
      <c r="H121" s="143">
        <v>0</v>
      </c>
      <c r="I121" s="143">
        <f>VLOOKUP(A121,'Title IV'!$A$12:$G$194,7,FALSE)</f>
        <v>0</v>
      </c>
      <c r="J121" s="143">
        <v>0</v>
      </c>
    </row>
    <row r="122" spans="1:10" ht="18.75" x14ac:dyDescent="0.3">
      <c r="A122" s="262" t="s">
        <v>125</v>
      </c>
      <c r="B122" s="62" t="s">
        <v>303</v>
      </c>
      <c r="C122" s="143">
        <f>VLOOKUP(A122,'ESSA Title I-A Formula'!A130:G312,7,FALSE)</f>
        <v>0</v>
      </c>
      <c r="D122" s="61">
        <f>IFERROR(VLOOKUP(A122,'ESSA Title I-Delinquent'!$A$12:$G$23,5,FALSE),0)</f>
        <v>0</v>
      </c>
      <c r="E122" s="143">
        <v>0</v>
      </c>
      <c r="F122" s="143">
        <f>VLOOKUP(A122,'ESSA Title II-A Formula'!A130:G312,7,FALSE)</f>
        <v>0</v>
      </c>
      <c r="G122" s="143">
        <f>VLOOKUP(A122,'ESSA Title III-ELL '!$A$12:$G$196,7,FALSE)</f>
        <v>0</v>
      </c>
      <c r="H122" s="143">
        <v>0</v>
      </c>
      <c r="I122" s="143">
        <f>VLOOKUP(A122,'Title IV'!$A$12:$G$194,7,FALSE)</f>
        <v>0</v>
      </c>
      <c r="J122" s="143">
        <v>0</v>
      </c>
    </row>
    <row r="123" spans="1:10" ht="18.75" x14ac:dyDescent="0.3">
      <c r="A123" s="262" t="s">
        <v>126</v>
      </c>
      <c r="B123" s="62" t="s">
        <v>304</v>
      </c>
      <c r="C123" s="143">
        <f>VLOOKUP(A123,'ESSA Title I-A Formula'!A131:G313,7,FALSE)</f>
        <v>0</v>
      </c>
      <c r="D123" s="61">
        <f>IFERROR(VLOOKUP(A123,'ESSA Title I-Delinquent'!$A$12:$G$23,5,FALSE),0)</f>
        <v>0</v>
      </c>
      <c r="E123" s="143">
        <v>0</v>
      </c>
      <c r="F123" s="143">
        <f>VLOOKUP(A123,'ESSA Title II-A Formula'!A131:G313,7,FALSE)</f>
        <v>0</v>
      </c>
      <c r="G123" s="143">
        <f>VLOOKUP(A123,'ESSA Title III-ELL '!$A$12:$G$196,7,FALSE)</f>
        <v>0</v>
      </c>
      <c r="H123" s="143">
        <v>0</v>
      </c>
      <c r="I123" s="143">
        <f>VLOOKUP(A123,'Title IV'!$A$12:$G$194,7,FALSE)</f>
        <v>0</v>
      </c>
      <c r="J123" s="143">
        <f>VLOOKUP(A123,'ESSA Title V-B'!$A$12:$G$38,7,FALSE)</f>
        <v>0</v>
      </c>
    </row>
    <row r="124" spans="1:10" ht="18.75" x14ac:dyDescent="0.3">
      <c r="A124" s="262" t="s">
        <v>127</v>
      </c>
      <c r="B124" s="62" t="s">
        <v>305</v>
      </c>
      <c r="C124" s="143">
        <f>VLOOKUP(A124,'ESSA Title I-A Formula'!A132:G314,7,FALSE)</f>
        <v>0</v>
      </c>
      <c r="D124" s="61">
        <f>IFERROR(VLOOKUP(A124,'ESSA Title I-Delinquent'!$A$12:$G$23,5,FALSE),0)</f>
        <v>0</v>
      </c>
      <c r="E124" s="143">
        <v>0</v>
      </c>
      <c r="F124" s="143">
        <f>VLOOKUP(A124,'ESSA Title II-A Formula'!A132:G314,7,FALSE)</f>
        <v>0</v>
      </c>
      <c r="G124" s="143">
        <f>VLOOKUP(A124,'ESSA Title III-ELL '!$A$12:$G$196,7,FALSE)</f>
        <v>0</v>
      </c>
      <c r="H124" s="143">
        <v>0</v>
      </c>
      <c r="I124" s="143">
        <f>VLOOKUP(A124,'Title IV'!$A$12:$G$194,7,FALSE)</f>
        <v>0</v>
      </c>
      <c r="J124" s="143">
        <f>VLOOKUP(A124,'ESSA Title V-B'!$A$12:$G$38,7,FALSE)</f>
        <v>0</v>
      </c>
    </row>
    <row r="125" spans="1:10" ht="18.75" x14ac:dyDescent="0.3">
      <c r="A125" s="262" t="s">
        <v>128</v>
      </c>
      <c r="B125" s="62" t="s">
        <v>306</v>
      </c>
      <c r="C125" s="143">
        <f>VLOOKUP(A125,'ESSA Title I-A Formula'!A133:G315,7,FALSE)</f>
        <v>0</v>
      </c>
      <c r="D125" s="61">
        <f>IFERROR(VLOOKUP(A125,'ESSA Title I-Delinquent'!$A$12:$G$23,5,FALSE),0)</f>
        <v>0</v>
      </c>
      <c r="E125" s="143">
        <v>0</v>
      </c>
      <c r="F125" s="143">
        <f>VLOOKUP(A125,'ESSA Title II-A Formula'!A133:G315,7,FALSE)</f>
        <v>0</v>
      </c>
      <c r="G125" s="143">
        <f>VLOOKUP(A125,'ESSA Title III-ELL '!$A$12:$G$196,7,FALSE)</f>
        <v>0</v>
      </c>
      <c r="H125" s="143">
        <v>0</v>
      </c>
      <c r="I125" s="143">
        <f>VLOOKUP(A125,'Title IV'!$A$12:$G$194,7,FALSE)</f>
        <v>0</v>
      </c>
      <c r="J125" s="143">
        <f>VLOOKUP(A125,'ESSA Title V-B'!$A$12:$G$38,7,FALSE)</f>
        <v>0</v>
      </c>
    </row>
    <row r="126" spans="1:10" ht="18.75" x14ac:dyDescent="0.3">
      <c r="A126" s="262" t="s">
        <v>129</v>
      </c>
      <c r="B126" s="62" t="s">
        <v>307</v>
      </c>
      <c r="C126" s="143">
        <f>VLOOKUP(A126,'ESSA Title I-A Formula'!A134:G316,7,FALSE)</f>
        <v>0</v>
      </c>
      <c r="D126" s="61">
        <f>IFERROR(VLOOKUP(A126,'ESSA Title I-Delinquent'!$A$12:$G$23,5,FALSE),0)</f>
        <v>0</v>
      </c>
      <c r="E126" s="143">
        <v>0</v>
      </c>
      <c r="F126" s="143">
        <f>VLOOKUP(A126,'ESSA Title II-A Formula'!A134:G316,7,FALSE)</f>
        <v>0</v>
      </c>
      <c r="G126" s="143">
        <f>VLOOKUP(A126,'ESSA Title III-ELL '!$A$12:$G$196,7,FALSE)</f>
        <v>0</v>
      </c>
      <c r="H126" s="143">
        <v>0</v>
      </c>
      <c r="I126" s="143">
        <f>VLOOKUP(A126,'Title IV'!$A$12:$G$194,7,FALSE)</f>
        <v>0</v>
      </c>
      <c r="J126" s="143">
        <v>0</v>
      </c>
    </row>
    <row r="127" spans="1:10" ht="18.75" x14ac:dyDescent="0.3">
      <c r="A127" s="262" t="s">
        <v>130</v>
      </c>
      <c r="B127" s="62" t="s">
        <v>308</v>
      </c>
      <c r="C127" s="143">
        <f>VLOOKUP(A127,'ESSA Title I-A Formula'!A135:G317,7,FALSE)</f>
        <v>0</v>
      </c>
      <c r="D127" s="61">
        <f>IFERROR(VLOOKUP(A127,'ESSA Title I-Delinquent'!$A$12:$G$23,5,FALSE),0)</f>
        <v>0</v>
      </c>
      <c r="E127" s="143">
        <v>0</v>
      </c>
      <c r="F127" s="143">
        <f>VLOOKUP(A127,'ESSA Title II-A Formula'!A135:G317,7,FALSE)</f>
        <v>0</v>
      </c>
      <c r="G127" s="143">
        <f>VLOOKUP(A127,'ESSA Title III-ELL '!$A$12:$G$196,7,FALSE)</f>
        <v>0</v>
      </c>
      <c r="H127" s="143">
        <v>0</v>
      </c>
      <c r="I127" s="143">
        <f>VLOOKUP(A127,'Title IV'!$A$12:$G$194,7,FALSE)</f>
        <v>0</v>
      </c>
      <c r="J127" s="143">
        <v>0</v>
      </c>
    </row>
    <row r="128" spans="1:10" ht="18.75" x14ac:dyDescent="0.3">
      <c r="A128" s="262" t="s">
        <v>131</v>
      </c>
      <c r="B128" s="62" t="s">
        <v>309</v>
      </c>
      <c r="C128" s="143">
        <f>VLOOKUP(A128,'ESSA Title I-A Formula'!A136:G318,7,FALSE)</f>
        <v>0</v>
      </c>
      <c r="D128" s="61">
        <f>IFERROR(VLOOKUP(A128,'ESSA Title I-Delinquent'!$A$12:$G$23,5,FALSE),0)</f>
        <v>0</v>
      </c>
      <c r="E128" s="143">
        <v>0</v>
      </c>
      <c r="F128" s="143">
        <f>VLOOKUP(A128,'ESSA Title II-A Formula'!A136:G318,7,FALSE)</f>
        <v>0</v>
      </c>
      <c r="G128" s="143">
        <f>VLOOKUP(A128,'ESSA Title III-ELL '!$A$12:$G$196,7,FALSE)</f>
        <v>0</v>
      </c>
      <c r="H128" s="143">
        <v>0</v>
      </c>
      <c r="I128" s="143">
        <f>VLOOKUP(A128,'Title IV'!$A$12:$G$194,7,FALSE)</f>
        <v>0</v>
      </c>
      <c r="J128" s="143">
        <v>0</v>
      </c>
    </row>
    <row r="129" spans="1:10" ht="18.75" x14ac:dyDescent="0.3">
      <c r="A129" s="262" t="s">
        <v>132</v>
      </c>
      <c r="B129" s="62" t="s">
        <v>310</v>
      </c>
      <c r="C129" s="143">
        <f>VLOOKUP(A129,'ESSA Title I-A Formula'!A137:G319,7,FALSE)</f>
        <v>0</v>
      </c>
      <c r="D129" s="61">
        <f>IFERROR(VLOOKUP(A129,'ESSA Title I-Delinquent'!$A$12:$G$23,5,FALSE),0)</f>
        <v>0</v>
      </c>
      <c r="E129" s="143">
        <v>0</v>
      </c>
      <c r="F129" s="143">
        <f>VLOOKUP(A129,'ESSA Title II-A Formula'!A137:G319,7,FALSE)</f>
        <v>0</v>
      </c>
      <c r="G129" s="143">
        <f>VLOOKUP(A129,'ESSA Title III-ELL '!$A$12:$G$196,7,FALSE)</f>
        <v>0</v>
      </c>
      <c r="H129" s="143">
        <v>0</v>
      </c>
      <c r="I129" s="143">
        <f>VLOOKUP(A129,'Title IV'!$A$12:$G$194,7,FALSE)</f>
        <v>0</v>
      </c>
      <c r="J129" s="143">
        <v>0</v>
      </c>
    </row>
    <row r="130" spans="1:10" ht="18.75" x14ac:dyDescent="0.3">
      <c r="A130" s="262" t="s">
        <v>133</v>
      </c>
      <c r="B130" s="62" t="s">
        <v>311</v>
      </c>
      <c r="C130" s="143">
        <f>VLOOKUP(A130,'ESSA Title I-A Formula'!A138:G320,7,FALSE)</f>
        <v>0</v>
      </c>
      <c r="D130" s="61">
        <f>IFERROR(VLOOKUP(A130,'ESSA Title I-Delinquent'!$A$12:$G$23,5,FALSE),0)</f>
        <v>0</v>
      </c>
      <c r="E130" s="143">
        <v>0</v>
      </c>
      <c r="F130" s="143">
        <f>VLOOKUP(A130,'ESSA Title II-A Formula'!A138:G320,7,FALSE)</f>
        <v>0</v>
      </c>
      <c r="G130" s="143">
        <f>VLOOKUP(A130,'ESSA Title III-ELL '!$A$12:$G$196,7,FALSE)</f>
        <v>0</v>
      </c>
      <c r="H130" s="143">
        <v>0</v>
      </c>
      <c r="I130" s="143">
        <f>VLOOKUP(A130,'Title IV'!$A$12:$G$194,7,FALSE)</f>
        <v>0</v>
      </c>
      <c r="J130" s="143">
        <v>0</v>
      </c>
    </row>
    <row r="131" spans="1:10" ht="18.75" x14ac:dyDescent="0.3">
      <c r="A131" s="262" t="s">
        <v>134</v>
      </c>
      <c r="B131" s="62" t="s">
        <v>312</v>
      </c>
      <c r="C131" s="143">
        <f>VLOOKUP(A131,'ESSA Title I-A Formula'!A139:G321,7,FALSE)</f>
        <v>0</v>
      </c>
      <c r="D131" s="61">
        <f>IFERROR(VLOOKUP(A131,'ESSA Title I-Delinquent'!$A$12:$G$23,5,FALSE),0)</f>
        <v>0</v>
      </c>
      <c r="E131" s="143">
        <v>0</v>
      </c>
      <c r="F131" s="143">
        <f>VLOOKUP(A131,'ESSA Title II-A Formula'!A139:G321,7,FALSE)</f>
        <v>0</v>
      </c>
      <c r="G131" s="143">
        <f>VLOOKUP(A131,'ESSA Title III-ELL '!$A$12:$G$196,7,FALSE)</f>
        <v>0</v>
      </c>
      <c r="H131" s="143">
        <v>0</v>
      </c>
      <c r="I131" s="143">
        <f>VLOOKUP(A131,'Title IV'!$A$12:$G$194,7,FALSE)</f>
        <v>0</v>
      </c>
      <c r="J131" s="143">
        <v>0</v>
      </c>
    </row>
    <row r="132" spans="1:10" ht="18.75" x14ac:dyDescent="0.3">
      <c r="A132" s="262" t="s">
        <v>135</v>
      </c>
      <c r="B132" s="62" t="s">
        <v>313</v>
      </c>
      <c r="C132" s="143">
        <f>VLOOKUP(A132,'ESSA Title I-A Formula'!A140:G322,7,FALSE)</f>
        <v>0</v>
      </c>
      <c r="D132" s="61">
        <f>IFERROR(VLOOKUP(A132,'ESSA Title I-Delinquent'!$A$12:$G$23,5,FALSE),0)</f>
        <v>0</v>
      </c>
      <c r="E132" s="143">
        <v>0</v>
      </c>
      <c r="F132" s="143">
        <f>VLOOKUP(A132,'ESSA Title II-A Formula'!A140:G322,7,FALSE)</f>
        <v>0</v>
      </c>
      <c r="G132" s="143">
        <f>VLOOKUP(A132,'ESSA Title III-ELL '!$A$12:$G$196,7,FALSE)</f>
        <v>0</v>
      </c>
      <c r="H132" s="143">
        <v>0</v>
      </c>
      <c r="I132" s="143">
        <f>VLOOKUP(A132,'Title IV'!$A$12:$G$194,7,FALSE)</f>
        <v>0</v>
      </c>
      <c r="J132" s="143">
        <v>0</v>
      </c>
    </row>
    <row r="133" spans="1:10" ht="18.75" x14ac:dyDescent="0.3">
      <c r="A133" s="262" t="s">
        <v>136</v>
      </c>
      <c r="B133" s="62" t="s">
        <v>314</v>
      </c>
      <c r="C133" s="143">
        <f>VLOOKUP(A133,'ESSA Title I-A Formula'!A141:G323,7,FALSE)</f>
        <v>0</v>
      </c>
      <c r="D133" s="61">
        <f>IFERROR(VLOOKUP(A133,'ESSA Title I-Delinquent'!$A$12:$G$23,5,FALSE),0)</f>
        <v>0</v>
      </c>
      <c r="E133" s="143">
        <v>0</v>
      </c>
      <c r="F133" s="143">
        <f>VLOOKUP(A133,'ESSA Title II-A Formula'!A141:G323,7,FALSE)</f>
        <v>0</v>
      </c>
      <c r="G133" s="143">
        <f>VLOOKUP(A133,'ESSA Title III-ELL '!$A$12:$G$196,7,FALSE)</f>
        <v>0</v>
      </c>
      <c r="H133" s="143">
        <v>0</v>
      </c>
      <c r="I133" s="143">
        <f>VLOOKUP(A133,'Title IV'!$A$12:$G$194,7,FALSE)</f>
        <v>0</v>
      </c>
      <c r="J133" s="143">
        <v>0</v>
      </c>
    </row>
    <row r="134" spans="1:10" ht="18.75" x14ac:dyDescent="0.3">
      <c r="A134" s="262" t="s">
        <v>137</v>
      </c>
      <c r="B134" s="62" t="s">
        <v>315</v>
      </c>
      <c r="C134" s="143">
        <f>VLOOKUP(A134,'ESSA Title I-A Formula'!A142:G324,7,FALSE)</f>
        <v>0</v>
      </c>
      <c r="D134" s="61">
        <f>IFERROR(VLOOKUP(A134,'ESSA Title I-Delinquent'!$A$12:$G$23,5,FALSE),0)</f>
        <v>0</v>
      </c>
      <c r="E134" s="143">
        <v>0</v>
      </c>
      <c r="F134" s="143">
        <f>VLOOKUP(A134,'ESSA Title II-A Formula'!A142:G324,7,FALSE)</f>
        <v>0</v>
      </c>
      <c r="G134" s="143">
        <f>VLOOKUP(A134,'ESSA Title III-ELL '!$A$12:$G$196,7,FALSE)</f>
        <v>0</v>
      </c>
      <c r="H134" s="143">
        <v>0</v>
      </c>
      <c r="I134" s="143">
        <f>VLOOKUP(A134,'Title IV'!$A$12:$G$194,7,FALSE)</f>
        <v>0</v>
      </c>
      <c r="J134" s="143">
        <v>0</v>
      </c>
    </row>
    <row r="135" spans="1:10" ht="18.75" x14ac:dyDescent="0.3">
      <c r="A135" s="262" t="s">
        <v>138</v>
      </c>
      <c r="B135" s="62" t="s">
        <v>316</v>
      </c>
      <c r="C135" s="143">
        <f>VLOOKUP(A135,'ESSA Title I-A Formula'!A143:G325,7,FALSE)</f>
        <v>0</v>
      </c>
      <c r="D135" s="61">
        <f>IFERROR(VLOOKUP(A135,'ESSA Title I-Delinquent'!$A$12:$G$23,5,FALSE),0)</f>
        <v>0</v>
      </c>
      <c r="E135" s="143">
        <v>0</v>
      </c>
      <c r="F135" s="143">
        <f>VLOOKUP(A135,'ESSA Title II-A Formula'!A143:G325,7,FALSE)</f>
        <v>89</v>
      </c>
      <c r="G135" s="143">
        <f>VLOOKUP(A135,'ESSA Title III-ELL '!$A$12:$G$196,7,FALSE)</f>
        <v>0</v>
      </c>
      <c r="H135" s="143">
        <v>0</v>
      </c>
      <c r="I135" s="143">
        <f>VLOOKUP(A135,'Title IV'!$A$12:$G$194,7,FALSE)</f>
        <v>0</v>
      </c>
      <c r="J135" s="143">
        <v>0</v>
      </c>
    </row>
    <row r="136" spans="1:10" ht="18.75" x14ac:dyDescent="0.3">
      <c r="A136" s="262" t="s">
        <v>139</v>
      </c>
      <c r="B136" s="62" t="s">
        <v>317</v>
      </c>
      <c r="C136" s="143">
        <f>VLOOKUP(A136,'ESSA Title I-A Formula'!A144:G326,7,FALSE)</f>
        <v>0</v>
      </c>
      <c r="D136" s="61">
        <f>IFERROR(VLOOKUP(A136,'ESSA Title I-Delinquent'!$A$12:$G$23,5,FALSE),0)</f>
        <v>0</v>
      </c>
      <c r="E136" s="143">
        <v>0</v>
      </c>
      <c r="F136" s="143">
        <f>VLOOKUP(A136,'ESSA Title II-A Formula'!A144:G326,7,FALSE)</f>
        <v>0</v>
      </c>
      <c r="G136" s="143">
        <f>VLOOKUP(A136,'ESSA Title III-ELL '!$A$12:$G$196,7,FALSE)</f>
        <v>0</v>
      </c>
      <c r="H136" s="143">
        <v>0</v>
      </c>
      <c r="I136" s="143">
        <f>VLOOKUP(A136,'Title IV'!$A$12:$G$194,7,FALSE)</f>
        <v>0</v>
      </c>
      <c r="J136" s="143">
        <f>VLOOKUP(A136,'ESSA Title V-B'!$A$12:$G$38,7,FALSE)</f>
        <v>0</v>
      </c>
    </row>
    <row r="137" spans="1:10" ht="18.75" x14ac:dyDescent="0.3">
      <c r="A137" s="262" t="s">
        <v>140</v>
      </c>
      <c r="B137" s="62" t="s">
        <v>318</v>
      </c>
      <c r="C137" s="143">
        <f>VLOOKUP(A137,'ESSA Title I-A Formula'!A145:G327,7,FALSE)</f>
        <v>0</v>
      </c>
      <c r="D137" s="61">
        <f>IFERROR(VLOOKUP(A137,'ESSA Title I-Delinquent'!$A$12:$G$23,5,FALSE),0)</f>
        <v>0</v>
      </c>
      <c r="E137" s="143">
        <v>0</v>
      </c>
      <c r="F137" s="143">
        <f>VLOOKUP(A137,'ESSA Title II-A Formula'!A145:G327,7,FALSE)</f>
        <v>0</v>
      </c>
      <c r="G137" s="143">
        <f>VLOOKUP(A137,'ESSA Title III-ELL '!$A$12:$G$196,7,FALSE)</f>
        <v>0</v>
      </c>
      <c r="H137" s="143">
        <v>0</v>
      </c>
      <c r="I137" s="143">
        <f>VLOOKUP(A137,'Title IV'!$A$12:$G$194,7,FALSE)</f>
        <v>0</v>
      </c>
      <c r="J137" s="143">
        <f>VLOOKUP(A137,'ESSA Title V-B'!$A$12:$G$38,7,FALSE)</f>
        <v>0</v>
      </c>
    </row>
    <row r="138" spans="1:10" ht="18.75" x14ac:dyDescent="0.3">
      <c r="A138" s="262" t="s">
        <v>141</v>
      </c>
      <c r="B138" s="62" t="s">
        <v>319</v>
      </c>
      <c r="C138" s="143">
        <f>VLOOKUP(A138,'ESSA Title I-A Formula'!A146:G328,7,FALSE)</f>
        <v>0</v>
      </c>
      <c r="D138" s="61">
        <f>IFERROR(VLOOKUP(A138,'ESSA Title I-Delinquent'!$A$12:$G$23,5,FALSE),0)</f>
        <v>0</v>
      </c>
      <c r="E138" s="143">
        <v>0</v>
      </c>
      <c r="F138" s="143">
        <f>VLOOKUP(A138,'ESSA Title II-A Formula'!A146:G328,7,FALSE)</f>
        <v>0</v>
      </c>
      <c r="G138" s="143">
        <f>VLOOKUP(A138,'ESSA Title III-ELL '!$A$12:$G$196,7,FALSE)</f>
        <v>0</v>
      </c>
      <c r="H138" s="143">
        <v>0</v>
      </c>
      <c r="I138" s="143">
        <f>VLOOKUP(A138,'Title IV'!$A$12:$G$194,7,FALSE)</f>
        <v>0</v>
      </c>
      <c r="J138" s="143">
        <v>0</v>
      </c>
    </row>
    <row r="139" spans="1:10" ht="18.75" x14ac:dyDescent="0.3">
      <c r="A139" s="262" t="s">
        <v>142</v>
      </c>
      <c r="B139" s="62" t="s">
        <v>320</v>
      </c>
      <c r="C139" s="143">
        <f>VLOOKUP(A139,'ESSA Title I-A Formula'!A147:G329,7,FALSE)</f>
        <v>0</v>
      </c>
      <c r="D139" s="61">
        <f>IFERROR(VLOOKUP(A139,'ESSA Title I-Delinquent'!$A$12:$G$23,5,FALSE),0)</f>
        <v>0</v>
      </c>
      <c r="E139" s="143">
        <v>0</v>
      </c>
      <c r="F139" s="143">
        <f>VLOOKUP(A139,'ESSA Title II-A Formula'!A147:G329,7,FALSE)</f>
        <v>0</v>
      </c>
      <c r="G139" s="143">
        <f>VLOOKUP(A139,'ESSA Title III-ELL '!$A$12:$G$196,7,FALSE)</f>
        <v>0</v>
      </c>
      <c r="H139" s="143">
        <v>0</v>
      </c>
      <c r="I139" s="143">
        <f>VLOOKUP(A139,'Title IV'!$A$12:$G$194,7,FALSE)</f>
        <v>0</v>
      </c>
      <c r="J139" s="143">
        <v>0</v>
      </c>
    </row>
    <row r="140" spans="1:10" ht="18.75" x14ac:dyDescent="0.3">
      <c r="A140" s="262" t="s">
        <v>143</v>
      </c>
      <c r="B140" s="62" t="s">
        <v>321</v>
      </c>
      <c r="C140" s="143">
        <f>VLOOKUP(A140,'ESSA Title I-A Formula'!A148:G330,7,FALSE)</f>
        <v>0</v>
      </c>
      <c r="D140" s="61">
        <f>IFERROR(VLOOKUP(A140,'ESSA Title I-Delinquent'!$A$12:$G$23,5,FALSE),0)</f>
        <v>0</v>
      </c>
      <c r="E140" s="143">
        <v>0</v>
      </c>
      <c r="F140" s="143">
        <f>VLOOKUP(A140,'ESSA Title II-A Formula'!A148:G330,7,FALSE)</f>
        <v>0</v>
      </c>
      <c r="G140" s="143">
        <f>VLOOKUP(A140,'ESSA Title III-ELL '!$A$12:$G$196,7,FALSE)</f>
        <v>0</v>
      </c>
      <c r="H140" s="143">
        <f>VLOOKUP(A140,'ESSA Title III SAI'!$A$12:$G$48,7,FALSE)</f>
        <v>1</v>
      </c>
      <c r="I140" s="143">
        <f>VLOOKUP(A140,'Title IV'!$A$12:$G$194,7,FALSE)</f>
        <v>0</v>
      </c>
      <c r="J140" s="143">
        <v>0</v>
      </c>
    </row>
    <row r="141" spans="1:10" ht="18.75" x14ac:dyDescent="0.3">
      <c r="A141" s="262" t="s">
        <v>144</v>
      </c>
      <c r="B141" s="62" t="s">
        <v>322</v>
      </c>
      <c r="C141" s="143">
        <f>VLOOKUP(A141,'ESSA Title I-A Formula'!A149:G331,7,FALSE)</f>
        <v>0</v>
      </c>
      <c r="D141" s="61">
        <f>IFERROR(VLOOKUP(A141,'ESSA Title I-Delinquent'!$A$12:$G$23,5,FALSE),0)</f>
        <v>0</v>
      </c>
      <c r="E141" s="143">
        <v>0</v>
      </c>
      <c r="F141" s="143">
        <f>VLOOKUP(A141,'ESSA Title II-A Formula'!A149:G331,7,FALSE)</f>
        <v>0</v>
      </c>
      <c r="G141" s="143">
        <f>VLOOKUP(A141,'ESSA Title III-ELL '!$A$12:$G$196,7,FALSE)</f>
        <v>0</v>
      </c>
      <c r="H141" s="143">
        <v>0</v>
      </c>
      <c r="I141" s="143">
        <f>VLOOKUP(A141,'Title IV'!$A$12:$G$194,7,FALSE)</f>
        <v>0</v>
      </c>
      <c r="J141" s="143">
        <v>0</v>
      </c>
    </row>
    <row r="142" spans="1:10" ht="18.75" x14ac:dyDescent="0.3">
      <c r="A142" s="262" t="s">
        <v>145</v>
      </c>
      <c r="B142" s="62" t="s">
        <v>323</v>
      </c>
      <c r="C142" s="143">
        <f>VLOOKUP(A142,'ESSA Title I-A Formula'!A150:G332,7,FALSE)</f>
        <v>0</v>
      </c>
      <c r="D142" s="61">
        <f>IFERROR(VLOOKUP(A142,'ESSA Title I-Delinquent'!$A$12:$G$23,5,FALSE),0)</f>
        <v>0</v>
      </c>
      <c r="E142" s="143">
        <v>0</v>
      </c>
      <c r="F142" s="143">
        <f>VLOOKUP(A142,'ESSA Title II-A Formula'!A150:G332,7,FALSE)</f>
        <v>0</v>
      </c>
      <c r="G142" s="143">
        <f>VLOOKUP(A142,'ESSA Title III-ELL '!$A$12:$G$196,7,FALSE)</f>
        <v>0</v>
      </c>
      <c r="H142" s="143">
        <v>0</v>
      </c>
      <c r="I142" s="143">
        <f>VLOOKUP(A142,'Title IV'!$A$12:$G$194,7,FALSE)</f>
        <v>0</v>
      </c>
      <c r="J142" s="143">
        <v>0</v>
      </c>
    </row>
    <row r="143" spans="1:10" ht="18.75" x14ac:dyDescent="0.3">
      <c r="A143" s="262" t="s">
        <v>146</v>
      </c>
      <c r="B143" s="62" t="s">
        <v>324</v>
      </c>
      <c r="C143" s="143">
        <f>VLOOKUP(A143,'ESSA Title I-A Formula'!A151:G333,7,FALSE)</f>
        <v>0</v>
      </c>
      <c r="D143" s="61">
        <f>IFERROR(VLOOKUP(A143,'ESSA Title I-Delinquent'!$A$12:$G$23,5,FALSE),0)</f>
        <v>0</v>
      </c>
      <c r="E143" s="143">
        <v>0</v>
      </c>
      <c r="F143" s="143">
        <f>VLOOKUP(A143,'ESSA Title II-A Formula'!A151:G333,7,FALSE)</f>
        <v>0</v>
      </c>
      <c r="G143" s="143">
        <f>VLOOKUP(A143,'ESSA Title III-ELL '!$A$12:$G$196,7,FALSE)</f>
        <v>0</v>
      </c>
      <c r="H143" s="143">
        <v>0</v>
      </c>
      <c r="I143" s="143">
        <f>VLOOKUP(A143,'Title IV'!$A$12:$G$194,7,FALSE)</f>
        <v>0</v>
      </c>
      <c r="J143" s="143">
        <v>0</v>
      </c>
    </row>
    <row r="144" spans="1:10" ht="18.75" x14ac:dyDescent="0.3">
      <c r="A144" s="262" t="s">
        <v>147</v>
      </c>
      <c r="B144" s="62" t="s">
        <v>325</v>
      </c>
      <c r="C144" s="143">
        <f>VLOOKUP(A144,'ESSA Title I-A Formula'!A152:G334,7,FALSE)</f>
        <v>0</v>
      </c>
      <c r="D144" s="61">
        <f>IFERROR(VLOOKUP(A144,'ESSA Title I-Delinquent'!$A$12:$G$23,5,FALSE),0)</f>
        <v>0</v>
      </c>
      <c r="E144" s="143">
        <v>0</v>
      </c>
      <c r="F144" s="143">
        <f>VLOOKUP(A144,'ESSA Title II-A Formula'!A152:G334,7,FALSE)</f>
        <v>0</v>
      </c>
      <c r="G144" s="143">
        <f>VLOOKUP(A144,'ESSA Title III-ELL '!$A$12:$G$196,7,FALSE)</f>
        <v>0</v>
      </c>
      <c r="H144" s="143">
        <v>0</v>
      </c>
      <c r="I144" s="143">
        <f>VLOOKUP(A144,'Title IV'!$A$12:$G$194,7,FALSE)</f>
        <v>0</v>
      </c>
      <c r="J144" s="143">
        <v>0</v>
      </c>
    </row>
    <row r="145" spans="1:10" ht="18.75" x14ac:dyDescent="0.3">
      <c r="A145" s="262" t="s">
        <v>148</v>
      </c>
      <c r="B145" s="62" t="s">
        <v>326</v>
      </c>
      <c r="C145" s="143">
        <f>VLOOKUP(A145,'ESSA Title I-A Formula'!A153:G335,7,FALSE)</f>
        <v>0</v>
      </c>
      <c r="D145" s="61">
        <f>IFERROR(VLOOKUP(A145,'ESSA Title I-Delinquent'!$A$12:$G$23,5,FALSE),0)</f>
        <v>0</v>
      </c>
      <c r="E145" s="143">
        <v>0</v>
      </c>
      <c r="F145" s="143">
        <f>VLOOKUP(A145,'ESSA Title II-A Formula'!A153:G335,7,FALSE)</f>
        <v>0</v>
      </c>
      <c r="G145" s="143">
        <f>VLOOKUP(A145,'ESSA Title III-ELL '!$A$12:$G$196,7,FALSE)</f>
        <v>0</v>
      </c>
      <c r="H145" s="143">
        <v>0</v>
      </c>
      <c r="I145" s="143">
        <f>VLOOKUP(A145,'Title IV'!$A$12:$G$194,7,FALSE)</f>
        <v>0</v>
      </c>
      <c r="J145" s="143">
        <f>VLOOKUP(A145,'ESSA Title V-B'!$A$12:$G$38,7,FALSE)</f>
        <v>0</v>
      </c>
    </row>
    <row r="146" spans="1:10" ht="18.75" x14ac:dyDescent="0.3">
      <c r="A146" s="262" t="s">
        <v>149</v>
      </c>
      <c r="B146" s="62" t="s">
        <v>327</v>
      </c>
      <c r="C146" s="143">
        <f>VLOOKUP(A146,'ESSA Title I-A Formula'!A154:G336,7,FALSE)</f>
        <v>0</v>
      </c>
      <c r="D146" s="61">
        <f>IFERROR(VLOOKUP(A146,'ESSA Title I-Delinquent'!$A$12:$G$23,5,FALSE),0)</f>
        <v>0</v>
      </c>
      <c r="E146" s="143">
        <v>0</v>
      </c>
      <c r="F146" s="143">
        <f>VLOOKUP(A146,'ESSA Title II-A Formula'!A154:G336,7,FALSE)</f>
        <v>0</v>
      </c>
      <c r="G146" s="143">
        <f>VLOOKUP(A146,'ESSA Title III-ELL '!$A$12:$G$196,7,FALSE)</f>
        <v>0</v>
      </c>
      <c r="H146" s="143">
        <v>0</v>
      </c>
      <c r="I146" s="143">
        <f>VLOOKUP(A146,'Title IV'!$A$12:$G$194,7,FALSE)</f>
        <v>0</v>
      </c>
      <c r="J146" s="143">
        <v>0</v>
      </c>
    </row>
    <row r="147" spans="1:10" ht="18.75" x14ac:dyDescent="0.3">
      <c r="A147" s="262" t="s">
        <v>150</v>
      </c>
      <c r="B147" s="62" t="s">
        <v>328</v>
      </c>
      <c r="C147" s="143">
        <f>VLOOKUP(A147,'ESSA Title I-A Formula'!A155:G337,7,FALSE)</f>
        <v>0</v>
      </c>
      <c r="D147" s="61">
        <f>IFERROR(VLOOKUP(A147,'ESSA Title I-Delinquent'!$A$12:$G$23,5,FALSE),0)</f>
        <v>0</v>
      </c>
      <c r="E147" s="143">
        <v>0</v>
      </c>
      <c r="F147" s="143">
        <f>VLOOKUP(A147,'ESSA Title II-A Formula'!A155:G337,7,FALSE)</f>
        <v>0</v>
      </c>
      <c r="G147" s="143">
        <f>VLOOKUP(A147,'ESSA Title III-ELL '!$A$12:$G$196,7,FALSE)</f>
        <v>0</v>
      </c>
      <c r="H147" s="143">
        <f>VLOOKUP(A147,'ESSA Title III SAI'!$A$12:$G$48,7,FALSE)</f>
        <v>0</v>
      </c>
      <c r="I147" s="143">
        <f>VLOOKUP(A147,'Title IV'!$A$12:$G$194,7,FALSE)</f>
        <v>0</v>
      </c>
      <c r="J147" s="143">
        <v>0</v>
      </c>
    </row>
    <row r="148" spans="1:10" ht="18.75" x14ac:dyDescent="0.3">
      <c r="A148" s="262" t="s">
        <v>151</v>
      </c>
      <c r="B148" s="62" t="s">
        <v>329</v>
      </c>
      <c r="C148" s="143">
        <f>VLOOKUP(A148,'ESSA Title I-A Formula'!A156:G338,7,FALSE)</f>
        <v>0</v>
      </c>
      <c r="D148" s="61">
        <f>IFERROR(VLOOKUP(A148,'ESSA Title I-Delinquent'!$A$12:$G$23,5,FALSE),0)</f>
        <v>0</v>
      </c>
      <c r="E148" s="143">
        <v>0</v>
      </c>
      <c r="F148" s="143">
        <f>VLOOKUP(A148,'ESSA Title II-A Formula'!A156:G338,7,FALSE)</f>
        <v>0</v>
      </c>
      <c r="G148" s="143">
        <f>VLOOKUP(A148,'ESSA Title III-ELL '!$A$12:$G$196,7,FALSE)</f>
        <v>0</v>
      </c>
      <c r="H148" s="143">
        <f>VLOOKUP(A148,'ESSA Title III SAI'!$A$12:$G$48,7,FALSE)</f>
        <v>0</v>
      </c>
      <c r="I148" s="143">
        <f>VLOOKUP(A148,'Title IV'!$A$12:$G$194,7,FALSE)</f>
        <v>0</v>
      </c>
      <c r="J148" s="143">
        <v>0</v>
      </c>
    </row>
    <row r="149" spans="1:10" ht="18.75" x14ac:dyDescent="0.3">
      <c r="A149" s="262" t="s">
        <v>152</v>
      </c>
      <c r="B149" s="62" t="s">
        <v>330</v>
      </c>
      <c r="C149" s="143">
        <f>VLOOKUP(A149,'ESSA Title I-A Formula'!A157:G339,7,FALSE)</f>
        <v>0</v>
      </c>
      <c r="D149" s="61">
        <f>IFERROR(VLOOKUP(A149,'ESSA Title I-Delinquent'!$A$12:$G$23,5,FALSE),0)</f>
        <v>0</v>
      </c>
      <c r="E149" s="143">
        <v>0</v>
      </c>
      <c r="F149" s="143">
        <f>VLOOKUP(A149,'ESSA Title II-A Formula'!A157:G339,7,FALSE)</f>
        <v>0</v>
      </c>
      <c r="G149" s="143">
        <f>VLOOKUP(A149,'ESSA Title III-ELL '!$A$12:$G$196,7,FALSE)</f>
        <v>0</v>
      </c>
      <c r="H149" s="143">
        <f>VLOOKUP(A149,'ESSA Title III SAI'!$A$12:$G$48,7,FALSE)</f>
        <v>0</v>
      </c>
      <c r="I149" s="143">
        <f>VLOOKUP(A149,'Title IV'!$A$12:$G$194,7,FALSE)</f>
        <v>0</v>
      </c>
      <c r="J149" s="143">
        <v>0</v>
      </c>
    </row>
    <row r="150" spans="1:10" ht="18.75" x14ac:dyDescent="0.3">
      <c r="A150" s="262" t="s">
        <v>153</v>
      </c>
      <c r="B150" s="62" t="s">
        <v>331</v>
      </c>
      <c r="C150" s="143">
        <f>VLOOKUP(A150,'ESSA Title I-A Formula'!A158:G340,7,FALSE)</f>
        <v>0</v>
      </c>
      <c r="D150" s="61">
        <f>IFERROR(VLOOKUP(A150,'ESSA Title I-Delinquent'!$A$12:$G$23,5,FALSE),0)</f>
        <v>0</v>
      </c>
      <c r="E150" s="143">
        <v>0</v>
      </c>
      <c r="F150" s="143">
        <f>VLOOKUP(A150,'ESSA Title II-A Formula'!A158:G340,7,FALSE)</f>
        <v>0</v>
      </c>
      <c r="G150" s="143">
        <f>VLOOKUP(A150,'ESSA Title III-ELL '!$A$12:$G$196,7,FALSE)</f>
        <v>0</v>
      </c>
      <c r="H150" s="143">
        <v>0</v>
      </c>
      <c r="I150" s="143">
        <f>VLOOKUP(A150,'Title IV'!$A$12:$G$194,7,FALSE)</f>
        <v>0</v>
      </c>
      <c r="J150" s="143">
        <v>0</v>
      </c>
    </row>
    <row r="151" spans="1:10" ht="18.75" x14ac:dyDescent="0.3">
      <c r="A151" s="262" t="s">
        <v>154</v>
      </c>
      <c r="B151" s="62" t="s">
        <v>332</v>
      </c>
      <c r="C151" s="143">
        <f>VLOOKUP(A151,'ESSA Title I-A Formula'!A159:G341,7,FALSE)</f>
        <v>0</v>
      </c>
      <c r="D151" s="61">
        <f>IFERROR(VLOOKUP(A151,'ESSA Title I-Delinquent'!$A$12:$G$23,5,FALSE),0)</f>
        <v>0</v>
      </c>
      <c r="E151" s="143">
        <v>0</v>
      </c>
      <c r="F151" s="143">
        <f>VLOOKUP(A151,'ESSA Title II-A Formula'!A159:G341,7,FALSE)</f>
        <v>0</v>
      </c>
      <c r="G151" s="143">
        <f>VLOOKUP(A151,'ESSA Title III-ELL '!$A$12:$G$196,7,FALSE)</f>
        <v>0</v>
      </c>
      <c r="H151" s="143">
        <v>0</v>
      </c>
      <c r="I151" s="143">
        <f>VLOOKUP(A151,'Title IV'!$A$12:$G$194,7,FALSE)</f>
        <v>0</v>
      </c>
      <c r="J151" s="143">
        <v>0</v>
      </c>
    </row>
    <row r="152" spans="1:10" ht="18.75" x14ac:dyDescent="0.3">
      <c r="A152" s="262" t="s">
        <v>155</v>
      </c>
      <c r="B152" s="62" t="s">
        <v>333</v>
      </c>
      <c r="C152" s="143">
        <f>VLOOKUP(A152,'ESSA Title I-A Formula'!A160:G342,7,FALSE)</f>
        <v>0</v>
      </c>
      <c r="D152" s="61">
        <f>IFERROR(VLOOKUP(A152,'ESSA Title I-Delinquent'!$A$12:$G$23,5,FALSE),0)</f>
        <v>0</v>
      </c>
      <c r="E152" s="143">
        <v>0</v>
      </c>
      <c r="F152" s="143">
        <f>VLOOKUP(A152,'ESSA Title II-A Formula'!A160:G342,7,FALSE)</f>
        <v>0</v>
      </c>
      <c r="G152" s="143">
        <f>VLOOKUP(A152,'ESSA Title III-ELL '!$A$12:$G$196,7,FALSE)</f>
        <v>0</v>
      </c>
      <c r="H152" s="143">
        <v>0</v>
      </c>
      <c r="I152" s="143">
        <f>VLOOKUP(A152,'Title IV'!$A$12:$G$194,7,FALSE)</f>
        <v>0</v>
      </c>
      <c r="J152" s="143">
        <v>0</v>
      </c>
    </row>
    <row r="153" spans="1:10" ht="18.75" x14ac:dyDescent="0.3">
      <c r="A153" s="262" t="s">
        <v>156</v>
      </c>
      <c r="B153" s="62" t="s">
        <v>334</v>
      </c>
      <c r="C153" s="143">
        <f>VLOOKUP(A153,'ESSA Title I-A Formula'!A161:G343,7,FALSE)</f>
        <v>0</v>
      </c>
      <c r="D153" s="61">
        <f>IFERROR(VLOOKUP(A153,'ESSA Title I-Delinquent'!$A$12:$G$23,5,FALSE),0)</f>
        <v>0</v>
      </c>
      <c r="E153" s="143">
        <v>0</v>
      </c>
      <c r="F153" s="143">
        <f>VLOOKUP(A153,'ESSA Title II-A Formula'!A161:G343,7,FALSE)</f>
        <v>0</v>
      </c>
      <c r="G153" s="143">
        <f>VLOOKUP(A153,'ESSA Title III-ELL '!$A$12:$G$196,7,FALSE)</f>
        <v>0</v>
      </c>
      <c r="H153" s="143">
        <v>0</v>
      </c>
      <c r="I153" s="143">
        <f>VLOOKUP(A153,'Title IV'!$A$12:$G$194,7,FALSE)</f>
        <v>0</v>
      </c>
      <c r="J153" s="143">
        <v>0</v>
      </c>
    </row>
    <row r="154" spans="1:10" ht="18.75" x14ac:dyDescent="0.3">
      <c r="A154" s="262" t="s">
        <v>157</v>
      </c>
      <c r="B154" s="62" t="s">
        <v>335</v>
      </c>
      <c r="C154" s="143">
        <f>VLOOKUP(A154,'ESSA Title I-A Formula'!A162:G344,7,FALSE)</f>
        <v>0</v>
      </c>
      <c r="D154" s="61">
        <f>IFERROR(VLOOKUP(A154,'ESSA Title I-Delinquent'!$A$12:$G$23,5,FALSE),0)</f>
        <v>0</v>
      </c>
      <c r="E154" s="143">
        <v>0</v>
      </c>
      <c r="F154" s="143">
        <f>VLOOKUP(A154,'ESSA Title II-A Formula'!A162:G344,7,FALSE)</f>
        <v>0</v>
      </c>
      <c r="G154" s="143">
        <f>VLOOKUP(A154,'ESSA Title III-ELL '!$A$12:$G$196,7,FALSE)</f>
        <v>0</v>
      </c>
      <c r="H154" s="143">
        <f>VLOOKUP(A154,'ESSA Title III SAI'!$A$12:$G$48,7,FALSE)</f>
        <v>0</v>
      </c>
      <c r="I154" s="143">
        <f>VLOOKUP(A154,'Title IV'!$A$12:$G$194,7,FALSE)</f>
        <v>0</v>
      </c>
      <c r="J154" s="143">
        <v>0</v>
      </c>
    </row>
    <row r="155" spans="1:10" ht="18.75" x14ac:dyDescent="0.3">
      <c r="A155" s="262" t="s">
        <v>158</v>
      </c>
      <c r="B155" s="62" t="s">
        <v>336</v>
      </c>
      <c r="C155" s="143">
        <f>VLOOKUP(A155,'ESSA Title I-A Formula'!A163:G345,7,FALSE)</f>
        <v>0</v>
      </c>
      <c r="D155" s="61">
        <f>IFERROR(VLOOKUP(A155,'ESSA Title I-Delinquent'!$A$12:$G$23,5,FALSE),0)</f>
        <v>0</v>
      </c>
      <c r="E155" s="143">
        <v>0</v>
      </c>
      <c r="F155" s="143">
        <f>VLOOKUP(A155,'ESSA Title II-A Formula'!A163:G345,7,FALSE)</f>
        <v>0</v>
      </c>
      <c r="G155" s="143">
        <f>VLOOKUP(A155,'ESSA Title III-ELL '!$A$12:$G$196,7,FALSE)</f>
        <v>0</v>
      </c>
      <c r="H155" s="143">
        <v>0</v>
      </c>
      <c r="I155" s="143">
        <f>VLOOKUP(A155,'Title IV'!$A$12:$G$194,7,FALSE)</f>
        <v>0</v>
      </c>
      <c r="J155" s="143">
        <f>VLOOKUP(A155,'ESSA Title V-B'!$A$12:$G$38,7,FALSE)</f>
        <v>0</v>
      </c>
    </row>
    <row r="156" spans="1:10" ht="18.75" x14ac:dyDescent="0.3">
      <c r="A156" s="262" t="s">
        <v>159</v>
      </c>
      <c r="B156" s="62" t="s">
        <v>337</v>
      </c>
      <c r="C156" s="143">
        <f>VLOOKUP(A156,'ESSA Title I-A Formula'!A164:G346,7,FALSE)</f>
        <v>0</v>
      </c>
      <c r="D156" s="61">
        <f>IFERROR(VLOOKUP(A156,'ESSA Title I-Delinquent'!$A$12:$G$23,5,FALSE),0)</f>
        <v>0</v>
      </c>
      <c r="E156" s="143">
        <v>0</v>
      </c>
      <c r="F156" s="143">
        <f>VLOOKUP(A156,'ESSA Title II-A Formula'!A164:G346,7,FALSE)</f>
        <v>0</v>
      </c>
      <c r="G156" s="143">
        <f>VLOOKUP(A156,'ESSA Title III-ELL '!$A$12:$G$196,7,FALSE)</f>
        <v>0</v>
      </c>
      <c r="H156" s="143">
        <v>0</v>
      </c>
      <c r="I156" s="143">
        <f>VLOOKUP(A156,'Title IV'!$A$12:$G$194,7,FALSE)</f>
        <v>0</v>
      </c>
      <c r="J156" s="143">
        <v>0</v>
      </c>
    </row>
    <row r="157" spans="1:10" ht="18.75" x14ac:dyDescent="0.3">
      <c r="A157" s="262" t="s">
        <v>160</v>
      </c>
      <c r="B157" s="62" t="s">
        <v>402</v>
      </c>
      <c r="C157" s="143">
        <f>VLOOKUP(A157,'ESSA Title I-A Formula'!A165:G347,7,FALSE)</f>
        <v>0</v>
      </c>
      <c r="D157" s="61">
        <f>IFERROR(VLOOKUP(A157,'ESSA Title I-Delinquent'!$A$12:$G$23,5,FALSE),0)</f>
        <v>0</v>
      </c>
      <c r="E157" s="143">
        <v>0</v>
      </c>
      <c r="F157" s="143">
        <f>VLOOKUP(A157,'ESSA Title II-A Formula'!A165:G347,7,FALSE)</f>
        <v>0</v>
      </c>
      <c r="G157" s="143">
        <f>VLOOKUP(A157,'ESSA Title III-ELL '!$A$12:$G$196,7,FALSE)</f>
        <v>0</v>
      </c>
      <c r="H157" s="143">
        <v>0</v>
      </c>
      <c r="I157" s="143">
        <f>VLOOKUP(A157,'Title IV'!$A$12:$G$194,7,FALSE)</f>
        <v>0</v>
      </c>
      <c r="J157" s="143">
        <v>0</v>
      </c>
    </row>
    <row r="158" spans="1:10" ht="18.75" x14ac:dyDescent="0.3">
      <c r="A158" s="262" t="s">
        <v>161</v>
      </c>
      <c r="B158" s="62" t="s">
        <v>338</v>
      </c>
      <c r="C158" s="143">
        <f>VLOOKUP(A158,'ESSA Title I-A Formula'!A166:G348,7,FALSE)</f>
        <v>0</v>
      </c>
      <c r="D158" s="61">
        <f>IFERROR(VLOOKUP(A158,'ESSA Title I-Delinquent'!$A$12:$G$23,5,FALSE),0)</f>
        <v>0</v>
      </c>
      <c r="E158" s="143">
        <v>0</v>
      </c>
      <c r="F158" s="143">
        <f>VLOOKUP(A158,'ESSA Title II-A Formula'!A166:G348,7,FALSE)</f>
        <v>0</v>
      </c>
      <c r="G158" s="143">
        <f>VLOOKUP(A158,'ESSA Title III-ELL '!$A$12:$G$196,7,FALSE)</f>
        <v>0</v>
      </c>
      <c r="H158" s="143">
        <f>VLOOKUP(A158,'ESSA Title III SAI'!$A$12:$G$48,7,FALSE)</f>
        <v>0</v>
      </c>
      <c r="I158" s="143">
        <f>VLOOKUP(A158,'Title IV'!$A$12:$G$194,7,FALSE)</f>
        <v>0</v>
      </c>
      <c r="J158" s="143">
        <v>0</v>
      </c>
    </row>
    <row r="159" spans="1:10" ht="18.75" x14ac:dyDescent="0.3">
      <c r="A159" s="262" t="s">
        <v>162</v>
      </c>
      <c r="B159" s="62" t="s">
        <v>339</v>
      </c>
      <c r="C159" s="143">
        <f>VLOOKUP(A159,'ESSA Title I-A Formula'!A167:G349,7,FALSE)</f>
        <v>0</v>
      </c>
      <c r="D159" s="61">
        <f>IFERROR(VLOOKUP(A159,'ESSA Title I-Delinquent'!$A$12:$G$23,5,FALSE),0)</f>
        <v>0</v>
      </c>
      <c r="E159" s="143">
        <v>0</v>
      </c>
      <c r="F159" s="143">
        <f>VLOOKUP(A159,'ESSA Title II-A Formula'!A167:G349,7,FALSE)</f>
        <v>0</v>
      </c>
      <c r="G159" s="143">
        <f>VLOOKUP(A159,'ESSA Title III-ELL '!$A$12:$G$196,7,FALSE)</f>
        <v>0</v>
      </c>
      <c r="H159" s="143">
        <v>0</v>
      </c>
      <c r="I159" s="143">
        <f>VLOOKUP(A159,'Title IV'!$A$12:$G$194,7,FALSE)</f>
        <v>0</v>
      </c>
      <c r="J159" s="143">
        <v>0</v>
      </c>
    </row>
    <row r="160" spans="1:10" ht="18.75" x14ac:dyDescent="0.3">
      <c r="A160" s="262" t="s">
        <v>163</v>
      </c>
      <c r="B160" s="62" t="s">
        <v>340</v>
      </c>
      <c r="C160" s="143">
        <f>VLOOKUP(A160,'ESSA Title I-A Formula'!A168:G350,7,FALSE)</f>
        <v>0</v>
      </c>
      <c r="D160" s="61">
        <f>IFERROR(VLOOKUP(A160,'ESSA Title I-Delinquent'!$A$12:$G$23,5,FALSE),0)</f>
        <v>0</v>
      </c>
      <c r="E160" s="143">
        <v>0</v>
      </c>
      <c r="F160" s="143">
        <f>VLOOKUP(A160,'ESSA Title II-A Formula'!A168:G350,7,FALSE)</f>
        <v>0</v>
      </c>
      <c r="G160" s="143">
        <f>VLOOKUP(A160,'ESSA Title III-ELL '!$A$12:$G$196,7,FALSE)</f>
        <v>0</v>
      </c>
      <c r="H160" s="143">
        <v>0</v>
      </c>
      <c r="I160" s="143">
        <f>VLOOKUP(A160,'Title IV'!$A$12:$G$194,7,FALSE)</f>
        <v>0</v>
      </c>
      <c r="J160" s="143">
        <v>0</v>
      </c>
    </row>
    <row r="161" spans="1:10" ht="18.75" x14ac:dyDescent="0.3">
      <c r="A161" s="262" t="s">
        <v>164</v>
      </c>
      <c r="B161" s="62" t="s">
        <v>341</v>
      </c>
      <c r="C161" s="143">
        <f>VLOOKUP(A161,'ESSA Title I-A Formula'!A169:G351,7,FALSE)</f>
        <v>0</v>
      </c>
      <c r="D161" s="61">
        <f>IFERROR(VLOOKUP(A161,'ESSA Title I-Delinquent'!$A$12:$G$23,5,FALSE),0)</f>
        <v>0</v>
      </c>
      <c r="E161" s="143">
        <v>0</v>
      </c>
      <c r="F161" s="143">
        <f>VLOOKUP(A161,'ESSA Title II-A Formula'!A169:G351,7,FALSE)</f>
        <v>0</v>
      </c>
      <c r="G161" s="143">
        <f>VLOOKUP(A161,'ESSA Title III-ELL '!$A$12:$G$196,7,FALSE)</f>
        <v>0</v>
      </c>
      <c r="H161" s="143">
        <v>0</v>
      </c>
      <c r="I161" s="143">
        <f>VLOOKUP(A161,'Title IV'!$A$12:$G$194,7,FALSE)</f>
        <v>0</v>
      </c>
      <c r="J161" s="143">
        <v>0</v>
      </c>
    </row>
    <row r="162" spans="1:10" ht="18.75" x14ac:dyDescent="0.3">
      <c r="A162" s="262" t="s">
        <v>165</v>
      </c>
      <c r="B162" s="62" t="s">
        <v>342</v>
      </c>
      <c r="C162" s="143">
        <f>VLOOKUP(A162,'ESSA Title I-A Formula'!A170:G352,7,FALSE)</f>
        <v>0</v>
      </c>
      <c r="D162" s="61">
        <f>IFERROR(VLOOKUP(A162,'ESSA Title I-Delinquent'!$A$12:$G$23,5,FALSE),0)</f>
        <v>0</v>
      </c>
      <c r="E162" s="143">
        <v>0</v>
      </c>
      <c r="F162" s="143">
        <f>VLOOKUP(A162,'ESSA Title II-A Formula'!A170:G352,7,FALSE)</f>
        <v>0</v>
      </c>
      <c r="G162" s="143">
        <f>VLOOKUP(A162,'ESSA Title III-ELL '!$A$12:$G$196,7,FALSE)</f>
        <v>0</v>
      </c>
      <c r="H162" s="143">
        <v>0</v>
      </c>
      <c r="I162" s="143">
        <f>VLOOKUP(A162,'Title IV'!$A$12:$G$194,7,FALSE)</f>
        <v>0</v>
      </c>
      <c r="J162" s="143">
        <v>0</v>
      </c>
    </row>
    <row r="163" spans="1:10" ht="18.75" x14ac:dyDescent="0.3">
      <c r="A163" s="262" t="s">
        <v>166</v>
      </c>
      <c r="B163" s="62" t="s">
        <v>343</v>
      </c>
      <c r="C163" s="143">
        <f>VLOOKUP(A163,'ESSA Title I-A Formula'!A171:G353,7,FALSE)</f>
        <v>0</v>
      </c>
      <c r="D163" s="61">
        <f>IFERROR(VLOOKUP(A163,'ESSA Title I-Delinquent'!$A$12:$G$23,5,FALSE),0)</f>
        <v>0</v>
      </c>
      <c r="E163" s="143">
        <v>0</v>
      </c>
      <c r="F163" s="143">
        <f>VLOOKUP(A163,'ESSA Title II-A Formula'!A171:G353,7,FALSE)</f>
        <v>0</v>
      </c>
      <c r="G163" s="143">
        <f>VLOOKUP(A163,'ESSA Title III-ELL '!$A$12:$G$196,7,FALSE)</f>
        <v>0</v>
      </c>
      <c r="H163" s="143">
        <v>0</v>
      </c>
      <c r="I163" s="143">
        <f>VLOOKUP(A163,'Title IV'!$A$12:$G$194,7,FALSE)</f>
        <v>0</v>
      </c>
      <c r="J163" s="143">
        <v>0</v>
      </c>
    </row>
    <row r="164" spans="1:10" ht="18.75" x14ac:dyDescent="0.3">
      <c r="A164" s="262" t="s">
        <v>167</v>
      </c>
      <c r="B164" s="62" t="s">
        <v>344</v>
      </c>
      <c r="C164" s="143">
        <f>VLOOKUP(A164,'ESSA Title I-A Formula'!A172:G354,7,FALSE)</f>
        <v>0</v>
      </c>
      <c r="D164" s="61">
        <f>IFERROR(VLOOKUP(A164,'ESSA Title I-Delinquent'!$A$12:$G$23,5,FALSE),0)</f>
        <v>0</v>
      </c>
      <c r="E164" s="143">
        <v>0</v>
      </c>
      <c r="F164" s="143">
        <f>VLOOKUP(A164,'ESSA Title II-A Formula'!A172:G354,7,FALSE)</f>
        <v>0</v>
      </c>
      <c r="G164" s="143">
        <f>VLOOKUP(A164,'ESSA Title III-ELL '!$A$12:$G$196,7,FALSE)</f>
        <v>0</v>
      </c>
      <c r="H164" s="143">
        <v>0</v>
      </c>
      <c r="I164" s="143">
        <f>VLOOKUP(A164,'Title IV'!$A$12:$G$194,7,FALSE)</f>
        <v>0</v>
      </c>
      <c r="J164" s="143">
        <v>0</v>
      </c>
    </row>
    <row r="165" spans="1:10" ht="18.75" x14ac:dyDescent="0.3">
      <c r="A165" s="262" t="s">
        <v>168</v>
      </c>
      <c r="B165" s="62" t="s">
        <v>345</v>
      </c>
      <c r="C165" s="143">
        <f>VLOOKUP(A165,'ESSA Title I-A Formula'!A173:G355,7,FALSE)</f>
        <v>0</v>
      </c>
      <c r="D165" s="61">
        <f>IFERROR(VLOOKUP(A165,'ESSA Title I-Delinquent'!$A$12:$G$23,5,FALSE),0)</f>
        <v>0</v>
      </c>
      <c r="E165" s="143">
        <v>0</v>
      </c>
      <c r="F165" s="143">
        <f>VLOOKUP(A165,'ESSA Title II-A Formula'!A173:G355,7,FALSE)</f>
        <v>0</v>
      </c>
      <c r="G165" s="143">
        <f>VLOOKUP(A165,'ESSA Title III-ELL '!$A$12:$G$196,7,FALSE)</f>
        <v>0</v>
      </c>
      <c r="H165" s="143">
        <v>0</v>
      </c>
      <c r="I165" s="143">
        <f>VLOOKUP(A165,'Title IV'!$A$12:$G$194,7,FALSE)</f>
        <v>0</v>
      </c>
      <c r="J165" s="143">
        <v>0</v>
      </c>
    </row>
    <row r="166" spans="1:10" ht="18.75" x14ac:dyDescent="0.3">
      <c r="A166" s="262" t="s">
        <v>169</v>
      </c>
      <c r="B166" s="62" t="s">
        <v>346</v>
      </c>
      <c r="C166" s="143">
        <f>VLOOKUP(A166,'ESSA Title I-A Formula'!A174:G356,7,FALSE)</f>
        <v>0</v>
      </c>
      <c r="D166" s="61">
        <f>IFERROR(VLOOKUP(A166,'ESSA Title I-Delinquent'!$A$12:$G$23,5,FALSE),0)</f>
        <v>0</v>
      </c>
      <c r="E166" s="143">
        <v>0</v>
      </c>
      <c r="F166" s="143">
        <f>VLOOKUP(A166,'ESSA Title II-A Formula'!A174:G356,7,FALSE)</f>
        <v>0</v>
      </c>
      <c r="G166" s="143">
        <f>VLOOKUP(A166,'ESSA Title III-ELL '!$A$12:$G$196,7,FALSE)</f>
        <v>0</v>
      </c>
      <c r="H166" s="143">
        <v>0</v>
      </c>
      <c r="I166" s="143">
        <f>VLOOKUP(A166,'Title IV'!$A$12:$G$194,7,FALSE)</f>
        <v>0</v>
      </c>
      <c r="J166" s="143">
        <v>0</v>
      </c>
    </row>
    <row r="167" spans="1:10" ht="18.75" x14ac:dyDescent="0.3">
      <c r="A167" s="262" t="s">
        <v>170</v>
      </c>
      <c r="B167" s="62" t="s">
        <v>347</v>
      </c>
      <c r="C167" s="143">
        <f>VLOOKUP(A167,'ESSA Title I-A Formula'!A175:G357,7,FALSE)</f>
        <v>0</v>
      </c>
      <c r="D167" s="61">
        <f>IFERROR(VLOOKUP(A167,'ESSA Title I-Delinquent'!$A$12:$G$23,5,FALSE),0)</f>
        <v>0</v>
      </c>
      <c r="E167" s="143">
        <v>0</v>
      </c>
      <c r="F167" s="143">
        <f>VLOOKUP(A167,'ESSA Title II-A Formula'!A175:G357,7,FALSE)</f>
        <v>0</v>
      </c>
      <c r="G167" s="143">
        <f>VLOOKUP(A167,'ESSA Title III-ELL '!$A$12:$G$196,7,FALSE)</f>
        <v>0</v>
      </c>
      <c r="H167" s="143">
        <v>0</v>
      </c>
      <c r="I167" s="143">
        <f>VLOOKUP(A167,'Title IV'!$A$12:$G$194,7,FALSE)</f>
        <v>0</v>
      </c>
      <c r="J167" s="143">
        <v>0</v>
      </c>
    </row>
    <row r="168" spans="1:10" ht="18.75" x14ac:dyDescent="0.3">
      <c r="A168" s="262" t="s">
        <v>171</v>
      </c>
      <c r="B168" s="62" t="s">
        <v>403</v>
      </c>
      <c r="C168" s="143">
        <f>VLOOKUP(A168,'ESSA Title I-A Formula'!A176:G358,7,FALSE)</f>
        <v>0</v>
      </c>
      <c r="D168" s="61">
        <f>IFERROR(VLOOKUP(A168,'ESSA Title I-Delinquent'!$A$12:$G$23,5,FALSE),0)</f>
        <v>0</v>
      </c>
      <c r="E168" s="143">
        <v>0</v>
      </c>
      <c r="F168" s="143">
        <f>VLOOKUP(A168,'ESSA Title II-A Formula'!A176:G358,7,FALSE)</f>
        <v>0</v>
      </c>
      <c r="G168" s="143">
        <f>VLOOKUP(A168,'ESSA Title III-ELL '!$A$12:$G$196,7,FALSE)</f>
        <v>0</v>
      </c>
      <c r="H168" s="143">
        <v>0</v>
      </c>
      <c r="I168" s="143">
        <f>VLOOKUP(A168,'Title IV'!$A$12:$G$194,7,FALSE)</f>
        <v>0</v>
      </c>
      <c r="J168" s="143">
        <v>0</v>
      </c>
    </row>
    <row r="169" spans="1:10" ht="18.75" x14ac:dyDescent="0.3">
      <c r="A169" s="262" t="s">
        <v>172</v>
      </c>
      <c r="B169" s="62" t="s">
        <v>348</v>
      </c>
      <c r="C169" s="143">
        <f>VLOOKUP(A169,'ESSA Title I-A Formula'!A177:G359,7,FALSE)</f>
        <v>0</v>
      </c>
      <c r="D169" s="61">
        <f>IFERROR(VLOOKUP(A169,'ESSA Title I-Delinquent'!$A$12:$G$23,5,FALSE),0)</f>
        <v>0</v>
      </c>
      <c r="E169" s="143">
        <v>0</v>
      </c>
      <c r="F169" s="143">
        <f>VLOOKUP(A169,'ESSA Title II-A Formula'!A177:G359,7,FALSE)</f>
        <v>0</v>
      </c>
      <c r="G169" s="143">
        <f>VLOOKUP(A169,'ESSA Title III-ELL '!$A$12:$G$196,7,FALSE)</f>
        <v>0</v>
      </c>
      <c r="H169" s="143">
        <v>0</v>
      </c>
      <c r="I169" s="143">
        <f>VLOOKUP(A169,'Title IV'!$A$12:$G$194,7,FALSE)</f>
        <v>0</v>
      </c>
      <c r="J169" s="143">
        <v>0</v>
      </c>
    </row>
    <row r="170" spans="1:10" ht="18.75" x14ac:dyDescent="0.3">
      <c r="A170" s="262" t="s">
        <v>173</v>
      </c>
      <c r="B170" s="62" t="s">
        <v>349</v>
      </c>
      <c r="C170" s="143">
        <f>VLOOKUP(A170,'ESSA Title I-A Formula'!A178:G360,7,FALSE)</f>
        <v>0</v>
      </c>
      <c r="D170" s="61">
        <f>IFERROR(VLOOKUP(A170,'ESSA Title I-Delinquent'!$A$12:$G$23,5,FALSE),0)</f>
        <v>0</v>
      </c>
      <c r="E170" s="143">
        <v>0</v>
      </c>
      <c r="F170" s="143">
        <f>VLOOKUP(A170,'ESSA Title II-A Formula'!A178:G360,7,FALSE)</f>
        <v>0</v>
      </c>
      <c r="G170" s="143">
        <f>VLOOKUP(A170,'ESSA Title III-ELL '!$A$12:$G$196,7,FALSE)</f>
        <v>0</v>
      </c>
      <c r="H170" s="143">
        <v>0</v>
      </c>
      <c r="I170" s="143">
        <f>VLOOKUP(A170,'Title IV'!$A$12:$G$194,7,FALSE)</f>
        <v>0</v>
      </c>
      <c r="J170" s="143">
        <v>0</v>
      </c>
    </row>
    <row r="171" spans="1:10" ht="18.75" x14ac:dyDescent="0.3">
      <c r="A171" s="262" t="s">
        <v>174</v>
      </c>
      <c r="B171" s="62" t="s">
        <v>350</v>
      </c>
      <c r="C171" s="143">
        <f>VLOOKUP(A171,'ESSA Title I-A Formula'!A179:G361,7,FALSE)</f>
        <v>0</v>
      </c>
      <c r="D171" s="61">
        <f>VLOOKUP(A171,'ESSA Title I-Delinquent'!$A$12:$G$23,7,FALSE)</f>
        <v>0</v>
      </c>
      <c r="E171" s="143">
        <v>0</v>
      </c>
      <c r="F171" s="143">
        <f>VLOOKUP(A171,'ESSA Title II-A Formula'!A179:G361,7,FALSE)</f>
        <v>-5.0000000046566129E-3</v>
      </c>
      <c r="G171" s="143">
        <f>VLOOKUP(A171,'ESSA Title III-ELL '!$A$12:$G$196,7,FALSE)</f>
        <v>0</v>
      </c>
      <c r="H171" s="143">
        <v>0</v>
      </c>
      <c r="I171" s="143">
        <f>VLOOKUP(A171,'Title IV'!$A$12:$G$194,7,FALSE)</f>
        <v>0</v>
      </c>
      <c r="J171" s="143">
        <v>0</v>
      </c>
    </row>
    <row r="172" spans="1:10" ht="18.75" x14ac:dyDescent="0.3">
      <c r="A172" s="262" t="s">
        <v>175</v>
      </c>
      <c r="B172" s="62" t="s">
        <v>351</v>
      </c>
      <c r="C172" s="143">
        <f>VLOOKUP(A172,'ESSA Title I-A Formula'!A180:G362,7,FALSE)</f>
        <v>0</v>
      </c>
      <c r="D172" s="61">
        <f>IFERROR(VLOOKUP(A172,'ESSA Title I-Delinquent'!$A$12:$G$23,5,FALSE),0)</f>
        <v>0</v>
      </c>
      <c r="E172" s="143">
        <v>0</v>
      </c>
      <c r="F172" s="143">
        <f>VLOOKUP(A172,'ESSA Title II-A Formula'!A180:G362,7,FALSE)</f>
        <v>0</v>
      </c>
      <c r="G172" s="143">
        <f>VLOOKUP(A172,'ESSA Title III-ELL '!$A$12:$G$196,7,FALSE)</f>
        <v>0</v>
      </c>
      <c r="H172" s="143">
        <v>0</v>
      </c>
      <c r="I172" s="143">
        <f>VLOOKUP(A172,'Title IV'!$A$12:$G$194,7,FALSE)</f>
        <v>0</v>
      </c>
      <c r="J172" s="143">
        <v>0</v>
      </c>
    </row>
    <row r="173" spans="1:10" ht="18.75" x14ac:dyDescent="0.3">
      <c r="A173" s="262" t="s">
        <v>176</v>
      </c>
      <c r="B173" s="62" t="s">
        <v>352</v>
      </c>
      <c r="C173" s="143">
        <f>VLOOKUP(A173,'ESSA Title I-A Formula'!A181:G363,7,FALSE)</f>
        <v>0</v>
      </c>
      <c r="D173" s="61">
        <f>IFERROR(VLOOKUP(A173,'ESSA Title I-Delinquent'!$A$12:$G$23,5,FALSE),0)</f>
        <v>0</v>
      </c>
      <c r="E173" s="143">
        <v>0</v>
      </c>
      <c r="F173" s="143">
        <f>VLOOKUP(A173,'ESSA Title II-A Formula'!A181:G363,7,FALSE)</f>
        <v>0</v>
      </c>
      <c r="G173" s="143">
        <f>VLOOKUP(A173,'ESSA Title III-ELL '!$A$12:$G$196,7,FALSE)</f>
        <v>0</v>
      </c>
      <c r="H173" s="143">
        <v>0</v>
      </c>
      <c r="I173" s="143">
        <f>VLOOKUP(A173,'Title IV'!$A$12:$G$194,7,FALSE)</f>
        <v>0</v>
      </c>
      <c r="J173" s="143">
        <v>0</v>
      </c>
    </row>
    <row r="174" spans="1:10" ht="18.75" x14ac:dyDescent="0.3">
      <c r="A174" s="262" t="s">
        <v>177</v>
      </c>
      <c r="B174" s="62" t="s">
        <v>353</v>
      </c>
      <c r="C174" s="143">
        <f>VLOOKUP(A174,'ESSA Title I-A Formula'!A182:G364,7,FALSE)</f>
        <v>0</v>
      </c>
      <c r="D174" s="61">
        <f>IFERROR(VLOOKUP(A174,'ESSA Title I-Delinquent'!$A$12:$G$23,5,FALSE),0)</f>
        <v>0</v>
      </c>
      <c r="E174" s="143">
        <v>0</v>
      </c>
      <c r="F174" s="143">
        <f>VLOOKUP(A174,'ESSA Title II-A Formula'!A182:G364,7,FALSE)</f>
        <v>0</v>
      </c>
      <c r="G174" s="143">
        <f>VLOOKUP(A174,'ESSA Title III-ELL '!$A$12:$G$196,7,FALSE)</f>
        <v>0</v>
      </c>
      <c r="H174" s="143">
        <f>VLOOKUP(A174,'ESSA Title III SAI'!$A$12:$G$48,7,FALSE)</f>
        <v>0</v>
      </c>
      <c r="I174" s="143">
        <f>VLOOKUP(A174,'Title IV'!$A$12:$G$194,7,FALSE)</f>
        <v>0</v>
      </c>
      <c r="J174" s="143">
        <v>0</v>
      </c>
    </row>
    <row r="175" spans="1:10" ht="18.75" x14ac:dyDescent="0.3">
      <c r="A175" s="262" t="s">
        <v>178</v>
      </c>
      <c r="B175" s="62" t="s">
        <v>354</v>
      </c>
      <c r="C175" s="143">
        <f>VLOOKUP(A175,'ESSA Title I-A Formula'!A183:G365,7,FALSE)</f>
        <v>0</v>
      </c>
      <c r="D175" s="61">
        <f>IFERROR(VLOOKUP(A175,'ESSA Title I-Delinquent'!$A$12:$G$23,5,FALSE),0)</f>
        <v>0</v>
      </c>
      <c r="E175" s="143">
        <v>0</v>
      </c>
      <c r="F175" s="143">
        <f>VLOOKUP(A175,'ESSA Title II-A Formula'!A183:G365,7,FALSE)</f>
        <v>0</v>
      </c>
      <c r="G175" s="143">
        <f>VLOOKUP(A175,'ESSA Title III-ELL '!$A$12:$G$196,7,FALSE)</f>
        <v>0</v>
      </c>
      <c r="H175" s="143">
        <v>0</v>
      </c>
      <c r="I175" s="143">
        <f>VLOOKUP(A175,'Title IV'!$A$12:$G$194,7,FALSE)</f>
        <v>0</v>
      </c>
      <c r="J175" s="143">
        <v>0</v>
      </c>
    </row>
    <row r="176" spans="1:10" ht="18.75" x14ac:dyDescent="0.3">
      <c r="A176" s="262" t="s">
        <v>179</v>
      </c>
      <c r="B176" s="62" t="s">
        <v>355</v>
      </c>
      <c r="C176" s="143">
        <f>VLOOKUP(A176,'ESSA Title I-A Formula'!A184:G366,7,FALSE)</f>
        <v>0</v>
      </c>
      <c r="D176" s="61">
        <f>IFERROR(VLOOKUP(A176,'ESSA Title I-Delinquent'!$A$12:$G$23,5,FALSE),0)</f>
        <v>0</v>
      </c>
      <c r="E176" s="143">
        <v>0</v>
      </c>
      <c r="F176" s="143">
        <f>VLOOKUP(A176,'ESSA Title II-A Formula'!A184:G366,7,FALSE)</f>
        <v>0</v>
      </c>
      <c r="G176" s="143">
        <f>VLOOKUP(A176,'ESSA Title III-ELL '!$A$12:$G$196,7,FALSE)</f>
        <v>0</v>
      </c>
      <c r="H176" s="143">
        <v>0</v>
      </c>
      <c r="I176" s="143">
        <f>VLOOKUP(A176,'Title IV'!$A$12:$G$194,7,FALSE)</f>
        <v>0</v>
      </c>
      <c r="J176" s="143">
        <v>0</v>
      </c>
    </row>
    <row r="177" spans="1:10" ht="18.75" x14ac:dyDescent="0.3">
      <c r="A177" s="262" t="s">
        <v>180</v>
      </c>
      <c r="B177" s="62" t="s">
        <v>356</v>
      </c>
      <c r="C177" s="143">
        <f>VLOOKUP(A177,'ESSA Title I-A Formula'!A185:G367,7,FALSE)</f>
        <v>0</v>
      </c>
      <c r="D177" s="61">
        <f>IFERROR(VLOOKUP(A177,'ESSA Title I-Delinquent'!$A$12:$G$23,5,FALSE),0)</f>
        <v>0</v>
      </c>
      <c r="E177" s="143">
        <v>0</v>
      </c>
      <c r="F177" s="143">
        <f>VLOOKUP(A177,'ESSA Title II-A Formula'!A185:G367,7,FALSE)</f>
        <v>0</v>
      </c>
      <c r="G177" s="143">
        <f>VLOOKUP(A177,'ESSA Title III-ELL '!$A$12:$G$196,7,FALSE)</f>
        <v>0</v>
      </c>
      <c r="H177" s="143">
        <f>VLOOKUP(A177,'ESSA Title III SAI'!$A$12:$G$48,7,FALSE)</f>
        <v>0</v>
      </c>
      <c r="I177" s="143">
        <f>VLOOKUP(A177,'Title IV'!$A$12:$G$194,7,FALSE)</f>
        <v>0</v>
      </c>
      <c r="J177" s="143">
        <v>0</v>
      </c>
    </row>
    <row r="178" spans="1:10" ht="18.75" x14ac:dyDescent="0.3">
      <c r="A178" s="262" t="s">
        <v>181</v>
      </c>
      <c r="B178" s="62" t="s">
        <v>357</v>
      </c>
      <c r="C178" s="143">
        <f>VLOOKUP(A178,'ESSA Title I-A Formula'!A186:G368,7,FALSE)</f>
        <v>0</v>
      </c>
      <c r="D178" s="61">
        <f>IFERROR(VLOOKUP(A178,'ESSA Title I-Delinquent'!$A$12:$G$23,5,FALSE),0)</f>
        <v>0</v>
      </c>
      <c r="E178" s="143">
        <v>0</v>
      </c>
      <c r="F178" s="143">
        <f>VLOOKUP(A178,'ESSA Title II-A Formula'!A186:G368,7,FALSE)</f>
        <v>0</v>
      </c>
      <c r="G178" s="143">
        <f>VLOOKUP(A178,'ESSA Title III-ELL '!$A$12:$G$196,7,FALSE)</f>
        <v>0</v>
      </c>
      <c r="H178" s="143">
        <v>0</v>
      </c>
      <c r="I178" s="143">
        <f>VLOOKUP(A178,'Title IV'!$A$12:$G$194,7,FALSE)</f>
        <v>0</v>
      </c>
      <c r="J178" s="143">
        <v>0</v>
      </c>
    </row>
    <row r="179" spans="1:10" ht="18.75" x14ac:dyDescent="0.3">
      <c r="A179" s="262" t="s">
        <v>182</v>
      </c>
      <c r="B179" s="62" t="s">
        <v>358</v>
      </c>
      <c r="C179" s="143">
        <f>VLOOKUP(A179,'ESSA Title I-A Formula'!A187:G369,7,FALSE)</f>
        <v>0</v>
      </c>
      <c r="D179" s="61">
        <f>IFERROR(VLOOKUP(A179,'ESSA Title I-Delinquent'!$A$12:$G$23,5,FALSE),0)</f>
        <v>0</v>
      </c>
      <c r="E179" s="143">
        <v>0</v>
      </c>
      <c r="F179" s="143">
        <f>VLOOKUP(A179,'ESSA Title II-A Formula'!A187:G369,7,FALSE)</f>
        <v>0</v>
      </c>
      <c r="G179" s="143">
        <f>VLOOKUP(A179,'ESSA Title III-ELL '!$A$12:$G$196,7,FALSE)</f>
        <v>0</v>
      </c>
      <c r="H179" s="143">
        <f>VLOOKUP(A179,'ESSA Title III SAI'!$A$12:$G$48,7,FALSE)</f>
        <v>0</v>
      </c>
      <c r="I179" s="143">
        <f>VLOOKUP(A179,'Title IV'!$A$12:$G$194,7,FALSE)</f>
        <v>0</v>
      </c>
      <c r="J179" s="143">
        <v>0</v>
      </c>
    </row>
    <row r="180" spans="1:10" ht="18.75" x14ac:dyDescent="0.3">
      <c r="A180" s="262" t="s">
        <v>183</v>
      </c>
      <c r="B180" s="62" t="s">
        <v>359</v>
      </c>
      <c r="C180" s="143">
        <f>VLOOKUP(A180,'ESSA Title I-A Formula'!A188:G370,7,FALSE)</f>
        <v>0</v>
      </c>
      <c r="D180" s="61">
        <f>IFERROR(VLOOKUP(A180,'ESSA Title I-Delinquent'!$A$12:$G$23,5,FALSE),0)</f>
        <v>0</v>
      </c>
      <c r="E180" s="143">
        <v>0</v>
      </c>
      <c r="F180" s="143">
        <f>VLOOKUP(A180,'ESSA Title II-A Formula'!A188:G370,7,FALSE)</f>
        <v>0</v>
      </c>
      <c r="G180" s="143">
        <f>VLOOKUP(A180,'ESSA Title III-ELL '!$A$12:$G$196,7,FALSE)</f>
        <v>0</v>
      </c>
      <c r="H180" s="143">
        <v>0</v>
      </c>
      <c r="I180" s="143">
        <f>VLOOKUP(A180,'Title IV'!$A$12:$G$194,7,FALSE)</f>
        <v>0</v>
      </c>
      <c r="J180" s="143">
        <v>0</v>
      </c>
    </row>
    <row r="181" spans="1:10" ht="18.75" x14ac:dyDescent="0.3">
      <c r="A181" s="262" t="s">
        <v>184</v>
      </c>
      <c r="B181" s="62" t="s">
        <v>360</v>
      </c>
      <c r="C181" s="143">
        <f>VLOOKUP(A181,'ESSA Title I-A Formula'!A189:G371,7,FALSE)</f>
        <v>0</v>
      </c>
      <c r="D181" s="61">
        <f>IFERROR(VLOOKUP(A181,'ESSA Title I-Delinquent'!$A$12:$G$23,5,FALSE),0)</f>
        <v>0</v>
      </c>
      <c r="E181" s="143">
        <v>0</v>
      </c>
      <c r="F181" s="143">
        <f>VLOOKUP(A181,'ESSA Title II-A Formula'!A189:G371,7,FALSE)</f>
        <v>0</v>
      </c>
      <c r="G181" s="143">
        <f>VLOOKUP(A181,'ESSA Title III-ELL '!$A$12:$G$196,7,FALSE)</f>
        <v>0</v>
      </c>
      <c r="H181" s="143">
        <v>0</v>
      </c>
      <c r="I181" s="143">
        <f>VLOOKUP(A181,'Title IV'!$A$12:$G$194,7,FALSE)</f>
        <v>0</v>
      </c>
      <c r="J181" s="143">
        <v>0</v>
      </c>
    </row>
    <row r="182" spans="1:10" ht="18.75" x14ac:dyDescent="0.3">
      <c r="A182" s="263" t="s">
        <v>407</v>
      </c>
      <c r="B182" s="62" t="s">
        <v>361</v>
      </c>
      <c r="C182" s="143">
        <f>VLOOKUP(A182,'ESSA Title I-A Formula'!A190:G372,7,FALSE)</f>
        <v>0</v>
      </c>
      <c r="D182" s="61">
        <f>IFERROR(VLOOKUP(A182,'ESSA Title I-Delinquent'!$A$12:$G$23,5,FALSE),0)</f>
        <v>0</v>
      </c>
      <c r="E182" s="143">
        <v>0</v>
      </c>
      <c r="F182" s="143">
        <f>VLOOKUP(A182,'ESSA Title II-A Formula'!A190:G372,7,FALSE)</f>
        <v>0</v>
      </c>
      <c r="G182" s="143">
        <f>VLOOKUP(A182,'ESSA Title III-ELL '!$A$12:$G$196,7,FALSE)</f>
        <v>0</v>
      </c>
      <c r="H182" s="143">
        <v>0</v>
      </c>
      <c r="I182" s="143">
        <f>VLOOKUP(A182,'Title IV'!$A$12:$G$194,7,FALSE)</f>
        <v>0</v>
      </c>
      <c r="J182" s="143">
        <v>0</v>
      </c>
    </row>
    <row r="183" spans="1:10" ht="18.75" x14ac:dyDescent="0.3">
      <c r="A183" s="262" t="s">
        <v>363</v>
      </c>
      <c r="B183" s="62" t="s">
        <v>362</v>
      </c>
      <c r="C183" s="143">
        <f>VLOOKUP(A183,'ESSA Title I-A Formula'!A191:G373,7,FALSE)</f>
        <v>0</v>
      </c>
      <c r="D183" s="61">
        <f>IFERROR(VLOOKUP(A183,'ESSA Title I-Delinquent'!$A$12:$G$23,5,FALSE),0)</f>
        <v>0</v>
      </c>
      <c r="E183" s="143">
        <v>0</v>
      </c>
      <c r="F183" s="143">
        <f>VLOOKUP(A183,'ESSA Title II-A Formula'!A191:G373,7,FALSE)</f>
        <v>0</v>
      </c>
      <c r="G183" s="143">
        <v>0</v>
      </c>
      <c r="H183" s="143">
        <v>0</v>
      </c>
      <c r="I183" s="143">
        <f>VLOOKUP(A183,'Title IV'!$A$12:$G$194,7,FALSE)</f>
        <v>0</v>
      </c>
      <c r="J183" s="143">
        <v>0</v>
      </c>
    </row>
    <row r="184" spans="1:10" ht="18.75" x14ac:dyDescent="0.3">
      <c r="A184" s="264" t="s">
        <v>371</v>
      </c>
      <c r="B184" s="63" t="s">
        <v>375</v>
      </c>
      <c r="C184" s="143">
        <f>VLOOKUP(A184,'ESSA Title I-A Formula'!A192:G374,7,FALSE)</f>
        <v>0</v>
      </c>
      <c r="D184" s="61">
        <f>IFERROR(VLOOKUP(A184,'ESSA Title I-Delinquent'!$A$12:$G$23,5,FALSE),0)</f>
        <v>0</v>
      </c>
      <c r="E184" s="143">
        <v>0</v>
      </c>
      <c r="F184" s="143">
        <f>VLOOKUP(A184,'ESSA Title II-A Formula'!A192:G374,7,FALSE)</f>
        <v>0</v>
      </c>
      <c r="G184" s="143">
        <f>VLOOKUP(A184,'ESSA Title III-ELL '!$A$12:$G$196,7,FALSE)</f>
        <v>0</v>
      </c>
      <c r="H184" s="143">
        <v>0</v>
      </c>
      <c r="I184" s="143">
        <f>VLOOKUP(A184,'Title IV'!$A$12:$G$194,7,FALSE)</f>
        <v>0</v>
      </c>
      <c r="J184" s="143">
        <v>0</v>
      </c>
    </row>
    <row r="185" spans="1:10" ht="18.75" x14ac:dyDescent="0.3">
      <c r="A185" s="264" t="s">
        <v>372</v>
      </c>
      <c r="B185" s="63" t="s">
        <v>376</v>
      </c>
      <c r="C185" s="143">
        <f>VLOOKUP(A185,'ESSA Title I-A Formula'!A193:G375,7,FALSE)</f>
        <v>0</v>
      </c>
      <c r="D185" s="61">
        <f>IFERROR(VLOOKUP(A185,'ESSA Title I-Delinquent'!$A$12:$G$23,5,FALSE),0)</f>
        <v>0</v>
      </c>
      <c r="E185" s="143">
        <v>0</v>
      </c>
      <c r="F185" s="143">
        <f>VLOOKUP(A185,'ESSA Title II-A Formula'!A193:G375,7,FALSE)</f>
        <v>0</v>
      </c>
      <c r="G185" s="143">
        <f>VLOOKUP(A185,'ESSA Title III-ELL '!$A$12:$G$196,7,FALSE)</f>
        <v>-38.559999999997672</v>
      </c>
      <c r="H185" s="143">
        <f>VLOOKUP(A185,'ESSA Title III SAI'!$A$12:$G$48,7,FALSE)</f>
        <v>0</v>
      </c>
      <c r="I185" s="143">
        <f>VLOOKUP(A185,'Title IV'!$A$12:$G$194,7,FALSE)</f>
        <v>0</v>
      </c>
      <c r="J185" s="143">
        <v>0</v>
      </c>
    </row>
    <row r="186" spans="1:10" ht="18.75" x14ac:dyDescent="0.3">
      <c r="A186" s="264" t="s">
        <v>373</v>
      </c>
      <c r="B186" s="64" t="s">
        <v>377</v>
      </c>
      <c r="C186" s="143">
        <f>VLOOKUP(A186,'ESSA Title I-A Formula'!A194:G376,7,FALSE)</f>
        <v>0</v>
      </c>
      <c r="D186" s="61">
        <f>IFERROR(VLOOKUP(A186,'ESSA Title I-Delinquent'!$A$12:$G$23,5,FALSE),0)</f>
        <v>0</v>
      </c>
      <c r="E186" s="143">
        <v>0</v>
      </c>
      <c r="F186" s="143">
        <f>VLOOKUP(A186,'ESSA Title II-A Formula'!A194:G376,7,FALSE)</f>
        <v>0</v>
      </c>
      <c r="G186" s="143">
        <f>VLOOKUP(A186,'ESSA Title III-ELL '!$A$12:$G$196,7,FALSE)</f>
        <v>0</v>
      </c>
      <c r="H186" s="143">
        <f>VLOOKUP(A186,'ESSA Title III SAI'!$A$12:$G$48,7,FALSE)</f>
        <v>0</v>
      </c>
      <c r="I186" s="143">
        <f>VLOOKUP(A186,'Title IV'!$A$12:$G$194,7,FALSE)</f>
        <v>0</v>
      </c>
      <c r="J186" s="143">
        <v>0</v>
      </c>
    </row>
    <row r="187" spans="1:10" ht="18.75" x14ac:dyDescent="0.3">
      <c r="A187" s="264" t="s">
        <v>408</v>
      </c>
      <c r="B187" s="64" t="s">
        <v>393</v>
      </c>
      <c r="C187" s="143">
        <v>0</v>
      </c>
      <c r="D187" s="61">
        <f>IFERROR(VLOOKUP(A187,'ESSA Title I-Delinquent'!$A$12:$G$23,5,FALSE),0)</f>
        <v>0</v>
      </c>
      <c r="E187" s="143"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</row>
    <row r="188" spans="1:10" ht="18.75" x14ac:dyDescent="0.3">
      <c r="A188" s="264" t="s">
        <v>405</v>
      </c>
      <c r="B188" s="64" t="s">
        <v>394</v>
      </c>
      <c r="C188" s="143">
        <v>0</v>
      </c>
      <c r="D188" s="61">
        <f>IFERROR(VLOOKUP(A188,'ESSA Title I-Delinquent'!$A$12:$G$23,5,FALSE),0)</f>
        <v>0</v>
      </c>
      <c r="E188" s="143">
        <v>0</v>
      </c>
      <c r="F188" s="143">
        <v>0</v>
      </c>
      <c r="G188" s="143">
        <f>VLOOKUP(A188,'ESSA Title III-ELL '!$A$12:$G$196,7,FALSE)</f>
        <v>0</v>
      </c>
      <c r="H188" s="143">
        <v>0</v>
      </c>
      <c r="I188" s="143">
        <v>0</v>
      </c>
      <c r="J188" s="143">
        <v>0</v>
      </c>
    </row>
    <row r="189" spans="1:10" ht="18.75" x14ac:dyDescent="0.3">
      <c r="A189" s="264" t="s">
        <v>404</v>
      </c>
      <c r="B189" s="64" t="s">
        <v>395</v>
      </c>
      <c r="C189" s="143">
        <v>0</v>
      </c>
      <c r="D189" s="61">
        <f>IFERROR(VLOOKUP(A189,'ESSA Title I-Delinquent'!$A$12:$G$23,5,FALSE),0)</f>
        <v>0</v>
      </c>
      <c r="E189" s="143">
        <v>0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</row>
    <row r="190" spans="1:10" ht="18.75" x14ac:dyDescent="0.3">
      <c r="A190" s="264" t="s">
        <v>406</v>
      </c>
      <c r="B190" s="64" t="s">
        <v>396</v>
      </c>
      <c r="C190" s="143">
        <v>0</v>
      </c>
      <c r="D190" s="61">
        <f>IFERROR(VLOOKUP(A190,'ESSA Title I-Delinquent'!$A$12:$G$23,5,FALSE),0)</f>
        <v>0</v>
      </c>
      <c r="E190" s="143">
        <v>0</v>
      </c>
      <c r="F190" s="143">
        <v>0</v>
      </c>
      <c r="G190" s="143">
        <f>VLOOKUP(A190,'ESSA Title III-ELL '!$A$12:$G$196,7,FALSE)</f>
        <v>0</v>
      </c>
      <c r="H190" s="143">
        <f>VLOOKUP(A190,'ESSA Title III SAI'!$A$12:$G$48,7,FALSE)</f>
        <v>0</v>
      </c>
      <c r="I190" s="143">
        <v>0</v>
      </c>
      <c r="J190" s="143">
        <v>0</v>
      </c>
    </row>
    <row r="191" spans="1:10" ht="18.75" x14ac:dyDescent="0.3">
      <c r="A191" s="264" t="s">
        <v>374</v>
      </c>
      <c r="B191" s="64" t="s">
        <v>378</v>
      </c>
      <c r="C191" s="143">
        <v>0</v>
      </c>
      <c r="D191" s="143">
        <f>IFERROR(VLOOKUP(A191,'ESSA Title I-Delinquent'!$A$12:$G$23,5,FALSE),0)</f>
        <v>0</v>
      </c>
      <c r="E191" s="143">
        <v>0</v>
      </c>
      <c r="F191" s="143">
        <v>0</v>
      </c>
      <c r="G191" s="143">
        <f>VLOOKUP(A191,'ESSA Title III-ELL '!$A$12:$G$196,7,FALSE)</f>
        <v>0</v>
      </c>
      <c r="H191" s="143">
        <v>0</v>
      </c>
      <c r="I191" s="143">
        <v>0</v>
      </c>
      <c r="J191" s="143">
        <v>0</v>
      </c>
    </row>
    <row r="192" spans="1:10" ht="18.75" x14ac:dyDescent="0.3">
      <c r="A192" s="264" t="s">
        <v>635</v>
      </c>
      <c r="B192" s="64" t="s">
        <v>636</v>
      </c>
      <c r="C192" s="143">
        <v>0</v>
      </c>
      <c r="D192" s="143">
        <v>0</v>
      </c>
      <c r="E192" s="143">
        <f>'StateAgenciesTitle I-Delinquent'!G12</f>
        <v>0</v>
      </c>
      <c r="F192" s="143"/>
      <c r="G192" s="143">
        <v>0</v>
      </c>
      <c r="H192" s="143">
        <v>0</v>
      </c>
      <c r="I192" s="143">
        <v>0</v>
      </c>
      <c r="J192" s="143">
        <v>0</v>
      </c>
    </row>
    <row r="193" spans="1:10" ht="18.75" x14ac:dyDescent="0.3">
      <c r="A193" s="265"/>
      <c r="B193" s="63"/>
      <c r="C193" s="143"/>
      <c r="D193" s="143"/>
      <c r="E193" s="143"/>
      <c r="F193" s="143"/>
      <c r="G193" s="143"/>
      <c r="H193" s="143"/>
      <c r="I193" s="143"/>
      <c r="J193" s="143"/>
    </row>
    <row r="194" spans="1:10" ht="18.75" x14ac:dyDescent="0.3">
      <c r="A194" s="266"/>
      <c r="B194" s="65"/>
      <c r="C194" s="66">
        <f>SUM(C4:C192)</f>
        <v>0</v>
      </c>
      <c r="D194" s="66">
        <f>SUM(D4:D191)</f>
        <v>25430</v>
      </c>
      <c r="E194" s="66">
        <f>SUM(E4:E192)</f>
        <v>0</v>
      </c>
      <c r="F194" s="66">
        <f>SUM(F4:F191)</f>
        <v>88.994999999995343</v>
      </c>
      <c r="G194" s="66">
        <f>SUM(G4:G191)</f>
        <v>1.8189894035458565E-12</v>
      </c>
      <c r="H194" s="143">
        <f>SUM(H4:H192)</f>
        <v>5614.18</v>
      </c>
      <c r="I194" s="66">
        <f>SUM(I4:I192)</f>
        <v>16941.98</v>
      </c>
      <c r="J194" s="143">
        <f>SUM(J5:J193)</f>
        <v>11096.020000000004</v>
      </c>
    </row>
    <row r="195" spans="1:10" x14ac:dyDescent="0.25">
      <c r="A195" s="267"/>
      <c r="B195" s="67"/>
      <c r="C195" s="68"/>
      <c r="D195" s="68"/>
      <c r="E195" s="68"/>
      <c r="F195" s="68"/>
      <c r="G195" s="68"/>
      <c r="H195" s="68"/>
      <c r="I195" s="68"/>
      <c r="J195" s="68"/>
    </row>
    <row r="196" spans="1:10" x14ac:dyDescent="0.25">
      <c r="A196" s="267"/>
      <c r="B196" s="67"/>
      <c r="C196" s="68"/>
      <c r="D196" s="68"/>
      <c r="E196" s="68"/>
      <c r="F196" s="68"/>
      <c r="G196" s="68"/>
      <c r="H196" s="68"/>
      <c r="I196" s="68"/>
      <c r="J196" s="68"/>
    </row>
    <row r="197" spans="1:10" x14ac:dyDescent="0.25">
      <c r="C197" s="59"/>
      <c r="D197" s="59"/>
      <c r="E197" s="59"/>
      <c r="F197" s="59"/>
      <c r="G197" s="59"/>
      <c r="H197" s="59"/>
      <c r="I197" s="59"/>
      <c r="J197" s="59"/>
    </row>
    <row r="198" spans="1:10" x14ac:dyDescent="0.25">
      <c r="C198" s="59"/>
      <c r="D198" s="59"/>
      <c r="E198" s="59"/>
      <c r="F198" s="59"/>
      <c r="G198" s="59"/>
      <c r="H198" s="59"/>
      <c r="I198" s="59"/>
      <c r="J198" s="59"/>
    </row>
    <row r="199" spans="1:10" x14ac:dyDescent="0.25">
      <c r="C199" s="59"/>
      <c r="D199" s="59"/>
      <c r="E199" s="59"/>
      <c r="F199" s="59"/>
      <c r="G199" s="59"/>
      <c r="H199" s="59"/>
      <c r="I199" s="59"/>
      <c r="J199" s="59"/>
    </row>
    <row r="200" spans="1:10" x14ac:dyDescent="0.25">
      <c r="C200" s="59"/>
      <c r="D200" s="59"/>
      <c r="E200" s="59"/>
      <c r="F200" s="59"/>
      <c r="G200" s="59"/>
      <c r="H200" s="59"/>
      <c r="I200" s="59"/>
      <c r="J200" s="59"/>
    </row>
    <row r="201" spans="1:10" x14ac:dyDescent="0.25">
      <c r="C201" s="59"/>
      <c r="D201" s="59"/>
      <c r="E201" s="59"/>
      <c r="F201" s="59"/>
      <c r="G201" s="59"/>
      <c r="H201" s="59"/>
      <c r="I201" s="59"/>
      <c r="J201" s="59"/>
    </row>
    <row r="202" spans="1:10" x14ac:dyDescent="0.25">
      <c r="C202" s="59"/>
      <c r="D202" s="59"/>
      <c r="E202" s="59"/>
      <c r="F202" s="59"/>
      <c r="G202" s="59"/>
      <c r="H202" s="59"/>
      <c r="I202" s="59"/>
      <c r="J202" s="59"/>
    </row>
    <row r="203" spans="1:10" x14ac:dyDescent="0.25">
      <c r="C203" s="59"/>
      <c r="D203" s="59"/>
      <c r="E203" s="59"/>
      <c r="F203" s="59"/>
      <c r="G203" s="59"/>
      <c r="H203" s="59"/>
      <c r="I203" s="59"/>
      <c r="J203" s="59"/>
    </row>
    <row r="204" spans="1:10" x14ac:dyDescent="0.25">
      <c r="C204" s="59"/>
      <c r="D204" s="59"/>
      <c r="E204" s="59"/>
      <c r="F204" s="59"/>
      <c r="G204" s="59"/>
      <c r="H204" s="59"/>
      <c r="I204" s="59"/>
      <c r="J204" s="59"/>
    </row>
    <row r="205" spans="1:10" x14ac:dyDescent="0.25">
      <c r="C205" s="59"/>
      <c r="D205" s="59"/>
      <c r="E205" s="59"/>
      <c r="F205" s="59"/>
      <c r="G205" s="59"/>
      <c r="H205" s="59"/>
      <c r="I205" s="59"/>
      <c r="J205" s="59"/>
    </row>
    <row r="206" spans="1:10" x14ac:dyDescent="0.25">
      <c r="C206" s="59"/>
      <c r="D206" s="59"/>
      <c r="E206" s="59"/>
      <c r="F206" s="59"/>
      <c r="G206" s="59"/>
      <c r="H206" s="59"/>
      <c r="I206" s="59"/>
      <c r="J206" s="59"/>
    </row>
    <row r="207" spans="1:10" x14ac:dyDescent="0.25">
      <c r="C207" s="59"/>
      <c r="D207" s="59"/>
      <c r="E207" s="59"/>
      <c r="F207" s="59"/>
      <c r="G207" s="59"/>
      <c r="H207" s="59"/>
      <c r="I207" s="59"/>
      <c r="J207" s="59"/>
    </row>
    <row r="208" spans="1:10" x14ac:dyDescent="0.25">
      <c r="C208" s="59"/>
      <c r="D208" s="59"/>
      <c r="E208" s="59"/>
      <c r="F208" s="59"/>
      <c r="G208" s="59"/>
      <c r="H208" s="59"/>
      <c r="I208" s="59"/>
      <c r="J208" s="59"/>
    </row>
    <row r="209" spans="3:10" x14ac:dyDescent="0.25">
      <c r="C209" s="59"/>
      <c r="D209" s="59"/>
      <c r="E209" s="59"/>
      <c r="F209" s="59"/>
      <c r="G209" s="59"/>
      <c r="H209" s="59"/>
      <c r="I209" s="59"/>
      <c r="J209" s="59"/>
    </row>
    <row r="210" spans="3:10" x14ac:dyDescent="0.25">
      <c r="C210" s="59"/>
      <c r="D210" s="59"/>
      <c r="E210" s="59"/>
      <c r="F210" s="59"/>
      <c r="G210" s="59"/>
      <c r="H210" s="59"/>
      <c r="I210" s="59"/>
      <c r="J210" s="59"/>
    </row>
    <row r="211" spans="3:10" x14ac:dyDescent="0.25">
      <c r="C211" s="59"/>
      <c r="D211" s="59"/>
      <c r="E211" s="59"/>
      <c r="F211" s="59"/>
      <c r="G211" s="59"/>
      <c r="H211" s="59"/>
      <c r="I211" s="59"/>
      <c r="J211" s="59"/>
    </row>
    <row r="212" spans="3:10" x14ac:dyDescent="0.25">
      <c r="C212" s="59"/>
      <c r="D212" s="59"/>
      <c r="E212" s="59"/>
      <c r="F212" s="59"/>
      <c r="G212" s="59"/>
      <c r="H212" s="59"/>
      <c r="I212" s="59"/>
      <c r="J212" s="59"/>
    </row>
    <row r="213" spans="3:10" x14ac:dyDescent="0.25">
      <c r="C213" s="59"/>
      <c r="D213" s="59"/>
      <c r="E213" s="59"/>
      <c r="F213" s="59"/>
      <c r="G213" s="59"/>
      <c r="H213" s="59"/>
      <c r="I213" s="59"/>
      <c r="J213" s="59"/>
    </row>
    <row r="214" spans="3:10" x14ac:dyDescent="0.25">
      <c r="C214" s="59"/>
      <c r="D214" s="59"/>
      <c r="E214" s="59"/>
      <c r="F214" s="59"/>
      <c r="G214" s="59"/>
      <c r="H214" s="59"/>
      <c r="I214" s="59"/>
      <c r="J214" s="59"/>
    </row>
    <row r="215" spans="3:10" x14ac:dyDescent="0.25">
      <c r="C215" s="59"/>
      <c r="D215" s="59"/>
      <c r="E215" s="59"/>
      <c r="F215" s="59"/>
      <c r="G215" s="59"/>
      <c r="H215" s="59"/>
      <c r="I215" s="59"/>
      <c r="J215" s="59"/>
    </row>
    <row r="216" spans="3:10" x14ac:dyDescent="0.25">
      <c r="C216" s="59"/>
      <c r="D216" s="59"/>
      <c r="E216" s="59"/>
      <c r="F216" s="59"/>
      <c r="G216" s="59"/>
      <c r="H216" s="59"/>
      <c r="I216" s="59"/>
      <c r="J216" s="59"/>
    </row>
    <row r="217" spans="3:10" x14ac:dyDescent="0.25">
      <c r="C217" s="59"/>
      <c r="D217" s="59"/>
      <c r="E217" s="59"/>
      <c r="F217" s="59"/>
      <c r="G217" s="59"/>
      <c r="H217" s="59"/>
      <c r="I217" s="59"/>
      <c r="J217" s="59"/>
    </row>
    <row r="218" spans="3:10" x14ac:dyDescent="0.25">
      <c r="C218" s="59"/>
      <c r="D218" s="59"/>
      <c r="E218" s="59"/>
      <c r="F218" s="59"/>
      <c r="G218" s="59"/>
      <c r="H218" s="59"/>
      <c r="I218" s="59"/>
      <c r="J218" s="59"/>
    </row>
    <row r="219" spans="3:10" x14ac:dyDescent="0.25">
      <c r="C219" s="59"/>
      <c r="D219" s="59"/>
      <c r="E219" s="59"/>
      <c r="F219" s="59"/>
      <c r="G219" s="59"/>
      <c r="H219" s="59"/>
      <c r="I219" s="59"/>
      <c r="J219" s="59"/>
    </row>
    <row r="220" spans="3:10" x14ac:dyDescent="0.25">
      <c r="C220" s="59"/>
      <c r="D220" s="59"/>
      <c r="E220" s="59"/>
      <c r="F220" s="59"/>
      <c r="G220" s="59"/>
      <c r="H220" s="59"/>
      <c r="I220" s="59"/>
      <c r="J220" s="59"/>
    </row>
    <row r="221" spans="3:10" x14ac:dyDescent="0.25">
      <c r="C221" s="59"/>
      <c r="D221" s="59"/>
      <c r="E221" s="59"/>
      <c r="F221" s="59"/>
      <c r="G221" s="59"/>
      <c r="H221" s="59"/>
      <c r="I221" s="59"/>
      <c r="J221" s="59"/>
    </row>
    <row r="222" spans="3:10" x14ac:dyDescent="0.25">
      <c r="C222" s="59"/>
      <c r="D222" s="59"/>
      <c r="E222" s="59"/>
      <c r="F222" s="59"/>
      <c r="G222" s="59"/>
      <c r="H222" s="59"/>
      <c r="I222" s="59"/>
      <c r="J222" s="59"/>
    </row>
    <row r="223" spans="3:10" x14ac:dyDescent="0.25">
      <c r="C223" s="59"/>
      <c r="D223" s="59"/>
      <c r="E223" s="59"/>
      <c r="F223" s="59"/>
      <c r="G223" s="59"/>
      <c r="H223" s="59"/>
      <c r="I223" s="59"/>
      <c r="J223" s="59"/>
    </row>
    <row r="224" spans="3:10" x14ac:dyDescent="0.25">
      <c r="C224" s="59"/>
      <c r="D224" s="59"/>
      <c r="E224" s="59"/>
      <c r="F224" s="59"/>
      <c r="G224" s="59"/>
      <c r="H224" s="59"/>
      <c r="I224" s="59"/>
      <c r="J224" s="59"/>
    </row>
    <row r="225" spans="3:10" x14ac:dyDescent="0.25">
      <c r="C225" s="59"/>
      <c r="D225" s="59"/>
      <c r="E225" s="59"/>
      <c r="F225" s="59"/>
      <c r="G225" s="59"/>
      <c r="H225" s="59"/>
      <c r="I225" s="59"/>
      <c r="J225" s="59"/>
    </row>
  </sheetData>
  <sheetProtection algorithmName="SHA-512" hashValue="38C2ouxaXXhuI+oVTx9kYknL4ScVoPPhPbmFTYXXKwapkQmXmV6k1+MW+0RjxKwoj7WRqIxswWksIP0tsY7Qag==" saltValue="y54kXlorVZOyODbzaj9dMA==" spinCount="100000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J181"/>
  <sheetViews>
    <sheetView workbookViewId="0">
      <pane ySplit="1" topLeftCell="A92" activePane="bottomLeft" state="frozen"/>
      <selection pane="bottomLeft" activeCell="E10" sqref="E10"/>
    </sheetView>
  </sheetViews>
  <sheetFormatPr defaultColWidth="9.140625" defaultRowHeight="15" x14ac:dyDescent="0.25"/>
  <cols>
    <col min="1" max="1" width="7" style="96" bestFit="1" customWidth="1"/>
    <col min="2" max="2" width="31.140625" style="96" bestFit="1" customWidth="1"/>
    <col min="3" max="3" width="11.5703125" style="96" bestFit="1" customWidth="1"/>
    <col min="4" max="4" width="9" style="96" bestFit="1" customWidth="1"/>
    <col min="5" max="5" width="7.28515625" style="96" bestFit="1" customWidth="1"/>
    <col min="6" max="6" width="8" style="96" bestFit="1" customWidth="1"/>
    <col min="7" max="7" width="10.28515625" style="96" bestFit="1" customWidth="1"/>
    <col min="8" max="8" width="9.140625" style="96" bestFit="1" customWidth="1"/>
    <col min="9" max="9" width="10.42578125" style="96" bestFit="1" customWidth="1"/>
    <col min="10" max="10" width="7.28515625" style="96" bestFit="1" customWidth="1"/>
    <col min="11" max="16384" width="9.140625" style="96"/>
  </cols>
  <sheetData>
    <row r="1" spans="1:10" x14ac:dyDescent="0.25">
      <c r="A1" s="95" t="s">
        <v>579</v>
      </c>
      <c r="B1" s="95" t="s">
        <v>409</v>
      </c>
      <c r="C1" s="95" t="s">
        <v>410</v>
      </c>
      <c r="D1" s="95" t="s">
        <v>411</v>
      </c>
      <c r="E1" s="95" t="s">
        <v>412</v>
      </c>
      <c r="F1" s="95" t="s">
        <v>413</v>
      </c>
      <c r="G1" s="95" t="s">
        <v>414</v>
      </c>
      <c r="H1" s="95" t="s">
        <v>415</v>
      </c>
      <c r="I1" s="95" t="s">
        <v>416</v>
      </c>
      <c r="J1" s="95" t="s">
        <v>392</v>
      </c>
    </row>
    <row r="2" spans="1:10" x14ac:dyDescent="0.25">
      <c r="A2" s="97" t="s">
        <v>7</v>
      </c>
      <c r="B2" s="97" t="s">
        <v>185</v>
      </c>
      <c r="C2" s="97" t="s">
        <v>417</v>
      </c>
      <c r="D2" s="98">
        <v>1133906</v>
      </c>
      <c r="E2" s="98">
        <v>0</v>
      </c>
      <c r="F2" s="98">
        <v>177255</v>
      </c>
      <c r="G2" s="98">
        <v>161273</v>
      </c>
      <c r="H2" s="98">
        <v>0</v>
      </c>
      <c r="I2" s="98">
        <v>0</v>
      </c>
      <c r="J2" s="98">
        <v>0</v>
      </c>
    </row>
    <row r="3" spans="1:10" x14ac:dyDescent="0.25">
      <c r="A3" s="97" t="s">
        <v>8</v>
      </c>
      <c r="B3" s="97" t="s">
        <v>418</v>
      </c>
      <c r="C3" s="97" t="s">
        <v>417</v>
      </c>
      <c r="D3" s="98">
        <v>4239216</v>
      </c>
      <c r="E3" s="98">
        <v>0</v>
      </c>
      <c r="F3" s="98">
        <v>700052</v>
      </c>
      <c r="G3" s="98">
        <v>439350</v>
      </c>
      <c r="H3" s="98">
        <v>0</v>
      </c>
      <c r="I3" s="98">
        <v>0</v>
      </c>
      <c r="J3" s="98">
        <v>0</v>
      </c>
    </row>
    <row r="4" spans="1:10" x14ac:dyDescent="0.25">
      <c r="A4" s="97" t="s">
        <v>9</v>
      </c>
      <c r="B4" s="97" t="s">
        <v>187</v>
      </c>
      <c r="C4" s="97" t="s">
        <v>417</v>
      </c>
      <c r="D4" s="98">
        <v>2219724</v>
      </c>
      <c r="E4" s="98">
        <v>0</v>
      </c>
      <c r="F4" s="98">
        <v>360029</v>
      </c>
      <c r="G4" s="98">
        <v>193055</v>
      </c>
      <c r="H4" s="98">
        <v>259</v>
      </c>
      <c r="I4" s="98">
        <v>1415</v>
      </c>
      <c r="J4" s="98">
        <v>0</v>
      </c>
    </row>
    <row r="5" spans="1:10" x14ac:dyDescent="0.25">
      <c r="A5" s="97" t="s">
        <v>10</v>
      </c>
      <c r="B5" s="97" t="s">
        <v>401</v>
      </c>
      <c r="C5" s="97" t="s">
        <v>417</v>
      </c>
      <c r="D5" s="98">
        <v>1291616</v>
      </c>
      <c r="E5" s="98">
        <v>0</v>
      </c>
      <c r="F5" s="98">
        <v>181827</v>
      </c>
      <c r="G5" s="98">
        <v>150638</v>
      </c>
      <c r="H5" s="98">
        <v>0</v>
      </c>
      <c r="I5" s="98">
        <v>0</v>
      </c>
      <c r="J5" s="98">
        <v>0</v>
      </c>
    </row>
    <row r="6" spans="1:10" x14ac:dyDescent="0.25">
      <c r="A6" s="97" t="s">
        <v>11</v>
      </c>
      <c r="B6" s="97" t="s">
        <v>189</v>
      </c>
      <c r="C6" s="97" t="s">
        <v>417</v>
      </c>
      <c r="D6" s="98">
        <v>107756</v>
      </c>
      <c r="E6" s="98">
        <v>0</v>
      </c>
      <c r="F6" s="98">
        <v>28866</v>
      </c>
      <c r="G6" s="98">
        <v>5287</v>
      </c>
      <c r="H6" s="98">
        <v>0</v>
      </c>
      <c r="I6" s="98">
        <v>0</v>
      </c>
      <c r="J6" s="98">
        <v>0</v>
      </c>
    </row>
    <row r="7" spans="1:10" x14ac:dyDescent="0.25">
      <c r="A7" s="97" t="s">
        <v>12</v>
      </c>
      <c r="B7" s="97" t="s">
        <v>190</v>
      </c>
      <c r="C7" s="97" t="s">
        <v>417</v>
      </c>
      <c r="D7" s="98">
        <v>70669</v>
      </c>
      <c r="E7" s="98">
        <v>0</v>
      </c>
      <c r="F7" s="98">
        <v>9078</v>
      </c>
      <c r="G7" s="98">
        <v>2239</v>
      </c>
      <c r="H7" s="98">
        <v>0</v>
      </c>
      <c r="I7" s="98">
        <v>0</v>
      </c>
      <c r="J7" s="98">
        <v>0</v>
      </c>
    </row>
    <row r="8" spans="1:10" x14ac:dyDescent="0.25">
      <c r="A8" s="97" t="s">
        <v>13</v>
      </c>
      <c r="B8" s="97" t="s">
        <v>191</v>
      </c>
      <c r="C8" s="97" t="s">
        <v>417</v>
      </c>
      <c r="D8" s="98">
        <v>3162431</v>
      </c>
      <c r="E8" s="98">
        <v>0</v>
      </c>
      <c r="F8" s="98">
        <v>417424</v>
      </c>
      <c r="G8" s="98">
        <v>251581</v>
      </c>
      <c r="H8" s="98">
        <v>2676</v>
      </c>
      <c r="I8" s="98">
        <v>14617</v>
      </c>
      <c r="J8" s="98">
        <v>0</v>
      </c>
    </row>
    <row r="9" spans="1:10" x14ac:dyDescent="0.25">
      <c r="A9" s="97" t="s">
        <v>14</v>
      </c>
      <c r="B9" s="97" t="s">
        <v>419</v>
      </c>
      <c r="C9" s="97" t="s">
        <v>420</v>
      </c>
      <c r="D9" s="98">
        <v>866152</v>
      </c>
      <c r="E9" s="98">
        <v>9173</v>
      </c>
      <c r="F9" s="98">
        <v>164655</v>
      </c>
      <c r="G9" s="98">
        <v>19654</v>
      </c>
      <c r="H9" s="98">
        <v>90</v>
      </c>
      <c r="I9" s="98">
        <v>472</v>
      </c>
      <c r="J9" s="98">
        <v>40761</v>
      </c>
    </row>
    <row r="10" spans="1:10" x14ac:dyDescent="0.25">
      <c r="A10" s="97" t="s">
        <v>15</v>
      </c>
      <c r="B10" s="97" t="s">
        <v>421</v>
      </c>
      <c r="C10" s="97" t="s">
        <v>420</v>
      </c>
      <c r="D10" s="98">
        <v>109209</v>
      </c>
      <c r="E10" s="98">
        <v>0</v>
      </c>
      <c r="F10" s="98">
        <v>13394</v>
      </c>
      <c r="G10" s="98">
        <v>2177</v>
      </c>
      <c r="H10" s="98">
        <v>0</v>
      </c>
      <c r="I10" s="98">
        <v>0</v>
      </c>
      <c r="J10" s="98">
        <v>0</v>
      </c>
    </row>
    <row r="11" spans="1:10" x14ac:dyDescent="0.25">
      <c r="A11" s="97" t="s">
        <v>16</v>
      </c>
      <c r="B11" s="97" t="s">
        <v>194</v>
      </c>
      <c r="C11" s="97" t="s">
        <v>422</v>
      </c>
      <c r="D11" s="98">
        <v>606895</v>
      </c>
      <c r="E11" s="98">
        <v>0</v>
      </c>
      <c r="F11" s="98">
        <v>173773</v>
      </c>
      <c r="G11" s="98">
        <v>23137</v>
      </c>
      <c r="H11" s="98">
        <v>259</v>
      </c>
      <c r="I11" s="98">
        <v>1415</v>
      </c>
      <c r="J11" s="98">
        <v>0</v>
      </c>
    </row>
    <row r="12" spans="1:10" x14ac:dyDescent="0.25">
      <c r="A12" s="97" t="s">
        <v>17</v>
      </c>
      <c r="B12" s="97" t="s">
        <v>195</v>
      </c>
      <c r="C12" s="97" t="s">
        <v>422</v>
      </c>
      <c r="D12" s="98">
        <v>935415</v>
      </c>
      <c r="E12" s="98">
        <v>0</v>
      </c>
      <c r="F12" s="98">
        <v>90140</v>
      </c>
      <c r="G12" s="98">
        <v>37255</v>
      </c>
      <c r="H12" s="98">
        <v>0</v>
      </c>
      <c r="I12" s="98">
        <v>0</v>
      </c>
      <c r="J12" s="98">
        <v>0</v>
      </c>
    </row>
    <row r="13" spans="1:10" x14ac:dyDescent="0.25">
      <c r="A13" s="97" t="s">
        <v>18</v>
      </c>
      <c r="B13" s="97" t="s">
        <v>196</v>
      </c>
      <c r="C13" s="97" t="s">
        <v>422</v>
      </c>
      <c r="D13" s="98">
        <v>4700413</v>
      </c>
      <c r="E13" s="98">
        <v>218315</v>
      </c>
      <c r="F13" s="98">
        <v>710985</v>
      </c>
      <c r="G13" s="98">
        <v>357376</v>
      </c>
      <c r="H13" s="98">
        <v>0</v>
      </c>
      <c r="I13" s="98">
        <v>0</v>
      </c>
      <c r="J13" s="98">
        <v>0</v>
      </c>
    </row>
    <row r="14" spans="1:10" x14ac:dyDescent="0.25">
      <c r="A14" s="97" t="s">
        <v>19</v>
      </c>
      <c r="B14" s="97" t="s">
        <v>197</v>
      </c>
      <c r="C14" s="97" t="s">
        <v>422</v>
      </c>
      <c r="D14" s="98">
        <v>1184243</v>
      </c>
      <c r="E14" s="98">
        <v>0</v>
      </c>
      <c r="F14" s="98">
        <v>373606</v>
      </c>
      <c r="G14" s="98">
        <v>44719</v>
      </c>
      <c r="H14" s="98">
        <v>1899</v>
      </c>
      <c r="I14" s="98">
        <v>10374</v>
      </c>
      <c r="J14" s="98">
        <v>0</v>
      </c>
    </row>
    <row r="15" spans="1:10" x14ac:dyDescent="0.25">
      <c r="A15" s="97" t="s">
        <v>20</v>
      </c>
      <c r="B15" s="97" t="s">
        <v>198</v>
      </c>
      <c r="C15" s="97" t="s">
        <v>422</v>
      </c>
      <c r="D15" s="98">
        <v>35353</v>
      </c>
      <c r="E15" s="98">
        <v>0</v>
      </c>
      <c r="F15" s="98">
        <v>8329</v>
      </c>
      <c r="G15" s="98">
        <v>1244</v>
      </c>
      <c r="H15" s="98">
        <v>0</v>
      </c>
      <c r="I15" s="98">
        <v>0</v>
      </c>
      <c r="J15" s="98">
        <v>0</v>
      </c>
    </row>
    <row r="16" spans="1:10" x14ac:dyDescent="0.25">
      <c r="A16" s="97" t="s">
        <v>21</v>
      </c>
      <c r="B16" s="97" t="s">
        <v>199</v>
      </c>
      <c r="C16" s="97" t="s">
        <v>422</v>
      </c>
      <c r="D16" s="98">
        <v>11151156</v>
      </c>
      <c r="E16" s="98">
        <v>79492</v>
      </c>
      <c r="F16" s="98">
        <v>1187501</v>
      </c>
      <c r="G16" s="98">
        <v>1013291</v>
      </c>
      <c r="H16" s="98">
        <v>36085</v>
      </c>
      <c r="I16" s="98">
        <v>197093</v>
      </c>
      <c r="J16" s="98">
        <v>0</v>
      </c>
    </row>
    <row r="17" spans="1:10" x14ac:dyDescent="0.25">
      <c r="A17" s="97" t="s">
        <v>22</v>
      </c>
      <c r="B17" s="97" t="s">
        <v>200</v>
      </c>
      <c r="C17" s="97" t="s">
        <v>422</v>
      </c>
      <c r="D17" s="98">
        <v>64682</v>
      </c>
      <c r="E17" s="98">
        <v>0</v>
      </c>
      <c r="F17" s="98">
        <v>20196</v>
      </c>
      <c r="G17" s="98">
        <v>2612</v>
      </c>
      <c r="H17" s="98">
        <v>0</v>
      </c>
      <c r="I17" s="98">
        <v>0</v>
      </c>
      <c r="J17" s="98">
        <v>0</v>
      </c>
    </row>
    <row r="18" spans="1:10" x14ac:dyDescent="0.25">
      <c r="A18" s="97" t="s">
        <v>23</v>
      </c>
      <c r="B18" s="97" t="s">
        <v>423</v>
      </c>
      <c r="C18" s="97" t="s">
        <v>424</v>
      </c>
      <c r="D18" s="98">
        <v>349049</v>
      </c>
      <c r="E18" s="98">
        <v>0</v>
      </c>
      <c r="F18" s="98">
        <v>74291</v>
      </c>
      <c r="G18" s="98">
        <v>0</v>
      </c>
      <c r="H18" s="98">
        <v>0</v>
      </c>
      <c r="I18" s="98">
        <v>0</v>
      </c>
      <c r="J18" s="98">
        <v>0</v>
      </c>
    </row>
    <row r="19" spans="1:10" x14ac:dyDescent="0.25">
      <c r="A19" s="97" t="s">
        <v>24</v>
      </c>
      <c r="B19" s="97" t="s">
        <v>425</v>
      </c>
      <c r="C19" s="97" t="s">
        <v>426</v>
      </c>
      <c r="D19" s="98">
        <v>49963</v>
      </c>
      <c r="E19" s="98">
        <v>0</v>
      </c>
      <c r="F19" s="98">
        <v>12252</v>
      </c>
      <c r="G19" s="98">
        <v>684</v>
      </c>
      <c r="H19" s="98">
        <v>0</v>
      </c>
      <c r="I19" s="98">
        <v>0</v>
      </c>
      <c r="J19" s="98">
        <v>0</v>
      </c>
    </row>
    <row r="20" spans="1:10" x14ac:dyDescent="0.25">
      <c r="A20" s="97" t="s">
        <v>25</v>
      </c>
      <c r="B20" s="97" t="s">
        <v>427</v>
      </c>
      <c r="C20" s="97" t="s">
        <v>426</v>
      </c>
      <c r="D20" s="98">
        <v>18082</v>
      </c>
      <c r="E20" s="98">
        <v>0</v>
      </c>
      <c r="F20" s="98">
        <v>5839</v>
      </c>
      <c r="G20" s="98">
        <v>0</v>
      </c>
      <c r="H20" s="98">
        <v>0</v>
      </c>
      <c r="I20" s="98">
        <v>0</v>
      </c>
      <c r="J20" s="98">
        <v>0</v>
      </c>
    </row>
    <row r="21" spans="1:10" x14ac:dyDescent="0.25">
      <c r="A21" s="97" t="s">
        <v>26</v>
      </c>
      <c r="B21" s="97" t="s">
        <v>428</v>
      </c>
      <c r="C21" s="97" t="s">
        <v>426</v>
      </c>
      <c r="D21" s="98">
        <v>69771</v>
      </c>
      <c r="E21" s="98">
        <v>0</v>
      </c>
      <c r="F21" s="98">
        <v>16714</v>
      </c>
      <c r="G21" s="98">
        <v>249</v>
      </c>
      <c r="H21" s="98">
        <v>0</v>
      </c>
      <c r="I21" s="98">
        <v>0</v>
      </c>
      <c r="J21" s="98">
        <v>0</v>
      </c>
    </row>
    <row r="22" spans="1:10" x14ac:dyDescent="0.25">
      <c r="A22" s="97" t="s">
        <v>27</v>
      </c>
      <c r="B22" s="97" t="s">
        <v>429</v>
      </c>
      <c r="C22" s="97" t="s">
        <v>426</v>
      </c>
      <c r="D22" s="98">
        <v>816</v>
      </c>
      <c r="E22" s="98">
        <v>0</v>
      </c>
      <c r="F22" s="98">
        <v>1184</v>
      </c>
      <c r="G22" s="98">
        <v>62</v>
      </c>
      <c r="H22" s="98">
        <v>0</v>
      </c>
      <c r="I22" s="98">
        <v>0</v>
      </c>
      <c r="J22" s="98">
        <v>0</v>
      </c>
    </row>
    <row r="23" spans="1:10" x14ac:dyDescent="0.25">
      <c r="A23" s="97" t="s">
        <v>28</v>
      </c>
      <c r="B23" s="97" t="s">
        <v>430</v>
      </c>
      <c r="C23" s="97" t="s">
        <v>426</v>
      </c>
      <c r="D23" s="98">
        <v>1799</v>
      </c>
      <c r="E23" s="98">
        <v>0</v>
      </c>
      <c r="F23" s="98">
        <v>2190</v>
      </c>
      <c r="G23" s="98">
        <v>0</v>
      </c>
      <c r="H23" s="98">
        <v>0</v>
      </c>
      <c r="I23" s="98">
        <v>0</v>
      </c>
      <c r="J23" s="98">
        <v>0</v>
      </c>
    </row>
    <row r="24" spans="1:10" x14ac:dyDescent="0.25">
      <c r="A24" s="97" t="s">
        <v>29</v>
      </c>
      <c r="B24" s="97" t="s">
        <v>431</v>
      </c>
      <c r="C24" s="97" t="s">
        <v>432</v>
      </c>
      <c r="D24" s="98">
        <v>234982</v>
      </c>
      <c r="E24" s="98">
        <v>0</v>
      </c>
      <c r="F24" s="98">
        <v>50373</v>
      </c>
      <c r="G24" s="98">
        <v>124</v>
      </c>
      <c r="H24" s="98">
        <v>0</v>
      </c>
      <c r="I24" s="98">
        <v>0</v>
      </c>
      <c r="J24" s="98">
        <v>0</v>
      </c>
    </row>
    <row r="25" spans="1:10" x14ac:dyDescent="0.25">
      <c r="A25" s="97" t="s">
        <v>30</v>
      </c>
      <c r="B25" s="97" t="s">
        <v>433</v>
      </c>
      <c r="C25" s="97" t="s">
        <v>432</v>
      </c>
      <c r="D25" s="98">
        <v>37907</v>
      </c>
      <c r="E25" s="98">
        <v>0</v>
      </c>
      <c r="F25" s="98">
        <v>10898</v>
      </c>
      <c r="G25" s="98">
        <v>1493</v>
      </c>
      <c r="H25" s="98">
        <v>0</v>
      </c>
      <c r="I25" s="98">
        <v>0</v>
      </c>
      <c r="J25" s="98">
        <v>0</v>
      </c>
    </row>
    <row r="26" spans="1:10" x14ac:dyDescent="0.25">
      <c r="A26" s="97" t="s">
        <v>31</v>
      </c>
      <c r="B26" s="97" t="s">
        <v>434</v>
      </c>
      <c r="C26" s="97" t="s">
        <v>435</v>
      </c>
      <c r="D26" s="98">
        <v>3275511</v>
      </c>
      <c r="E26" s="98">
        <v>0</v>
      </c>
      <c r="F26" s="98">
        <v>467170</v>
      </c>
      <c r="G26" s="98">
        <v>280316</v>
      </c>
      <c r="H26" s="98">
        <v>0</v>
      </c>
      <c r="I26" s="98">
        <v>0</v>
      </c>
      <c r="J26" s="98">
        <v>0</v>
      </c>
    </row>
    <row r="27" spans="1:10" x14ac:dyDescent="0.25">
      <c r="A27" s="97" t="s">
        <v>32</v>
      </c>
      <c r="B27" s="97" t="s">
        <v>436</v>
      </c>
      <c r="C27" s="97" t="s">
        <v>435</v>
      </c>
      <c r="D27" s="98">
        <v>2119660</v>
      </c>
      <c r="E27" s="98">
        <v>0</v>
      </c>
      <c r="F27" s="98">
        <v>686897</v>
      </c>
      <c r="G27" s="98">
        <v>184348</v>
      </c>
      <c r="H27" s="98">
        <v>0</v>
      </c>
      <c r="I27" s="98">
        <v>0</v>
      </c>
      <c r="J27" s="98">
        <v>0</v>
      </c>
    </row>
    <row r="28" spans="1:10" x14ac:dyDescent="0.25">
      <c r="A28" s="97" t="s">
        <v>33</v>
      </c>
      <c r="B28" s="97" t="s">
        <v>211</v>
      </c>
      <c r="C28" s="97" t="s">
        <v>437</v>
      </c>
      <c r="D28" s="98">
        <v>160970</v>
      </c>
      <c r="E28" s="98">
        <v>0</v>
      </c>
      <c r="F28" s="98">
        <v>37339</v>
      </c>
      <c r="G28" s="98">
        <v>498</v>
      </c>
      <c r="H28" s="98">
        <v>0</v>
      </c>
      <c r="I28" s="98">
        <v>0</v>
      </c>
      <c r="J28" s="98">
        <v>0</v>
      </c>
    </row>
    <row r="29" spans="1:10" x14ac:dyDescent="0.25">
      <c r="A29" s="97" t="s">
        <v>34</v>
      </c>
      <c r="B29" s="97" t="s">
        <v>212</v>
      </c>
      <c r="C29" s="97" t="s">
        <v>437</v>
      </c>
      <c r="D29" s="98">
        <v>169563</v>
      </c>
      <c r="E29" s="98">
        <v>0</v>
      </c>
      <c r="F29" s="98">
        <v>57158</v>
      </c>
      <c r="G29" s="98">
        <v>1368</v>
      </c>
      <c r="H29" s="98">
        <v>0</v>
      </c>
      <c r="I29" s="98">
        <v>0</v>
      </c>
      <c r="J29" s="98">
        <v>0</v>
      </c>
    </row>
    <row r="30" spans="1:10" x14ac:dyDescent="0.25">
      <c r="A30" s="97" t="s">
        <v>35</v>
      </c>
      <c r="B30" s="97" t="s">
        <v>213</v>
      </c>
      <c r="C30" s="97" t="s">
        <v>438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x14ac:dyDescent="0.25">
      <c r="A31" s="97" t="s">
        <v>36</v>
      </c>
      <c r="B31" s="97" t="s">
        <v>439</v>
      </c>
      <c r="C31" s="97" t="s">
        <v>438</v>
      </c>
      <c r="D31" s="98">
        <v>28551</v>
      </c>
      <c r="E31" s="98">
        <v>0</v>
      </c>
      <c r="F31" s="98">
        <v>11573</v>
      </c>
      <c r="G31" s="98">
        <v>746</v>
      </c>
      <c r="H31" s="98">
        <v>0</v>
      </c>
      <c r="I31" s="98">
        <v>0</v>
      </c>
      <c r="J31" s="98">
        <v>0</v>
      </c>
    </row>
    <row r="32" spans="1:10" x14ac:dyDescent="0.25">
      <c r="A32" s="97" t="s">
        <v>37</v>
      </c>
      <c r="B32" s="97" t="s">
        <v>440</v>
      </c>
      <c r="C32" s="97" t="s">
        <v>441</v>
      </c>
      <c r="D32" s="98">
        <v>97087</v>
      </c>
      <c r="E32" s="98">
        <v>0</v>
      </c>
      <c r="F32" s="98">
        <v>38253</v>
      </c>
      <c r="G32" s="98">
        <v>0</v>
      </c>
      <c r="H32" s="98">
        <v>0</v>
      </c>
      <c r="I32" s="98">
        <v>0</v>
      </c>
      <c r="J32" s="98">
        <v>0</v>
      </c>
    </row>
    <row r="33" spans="1:10" x14ac:dyDescent="0.25">
      <c r="A33" s="97" t="s">
        <v>38</v>
      </c>
      <c r="B33" s="97" t="s">
        <v>442</v>
      </c>
      <c r="C33" s="97" t="s">
        <v>443</v>
      </c>
      <c r="D33" s="98">
        <v>298501</v>
      </c>
      <c r="E33" s="98">
        <v>0</v>
      </c>
      <c r="F33" s="98">
        <v>72282</v>
      </c>
      <c r="G33" s="98">
        <v>0</v>
      </c>
      <c r="H33" s="98">
        <v>0</v>
      </c>
      <c r="I33" s="98">
        <v>0</v>
      </c>
      <c r="J33" s="98">
        <v>0</v>
      </c>
    </row>
    <row r="34" spans="1:10" x14ac:dyDescent="0.25">
      <c r="A34" s="97" t="s">
        <v>39</v>
      </c>
      <c r="B34" s="97" t="s">
        <v>217</v>
      </c>
      <c r="C34" s="97" t="s">
        <v>443</v>
      </c>
      <c r="D34" s="98">
        <v>52992</v>
      </c>
      <c r="E34" s="98">
        <v>0</v>
      </c>
      <c r="F34" s="98">
        <v>23483</v>
      </c>
      <c r="G34" s="98">
        <v>249</v>
      </c>
      <c r="H34" s="98">
        <v>0</v>
      </c>
      <c r="I34" s="98">
        <v>0</v>
      </c>
      <c r="J34" s="98">
        <v>0</v>
      </c>
    </row>
    <row r="35" spans="1:10" x14ac:dyDescent="0.25">
      <c r="A35" s="97" t="s">
        <v>40</v>
      </c>
      <c r="B35" s="97" t="s">
        <v>444</v>
      </c>
      <c r="C35" s="97" t="s">
        <v>443</v>
      </c>
      <c r="D35" s="98">
        <v>153777</v>
      </c>
      <c r="E35" s="98">
        <v>0</v>
      </c>
      <c r="F35" s="98">
        <v>34398</v>
      </c>
      <c r="G35" s="98">
        <v>1741</v>
      </c>
      <c r="H35" s="98">
        <v>0</v>
      </c>
      <c r="I35" s="98">
        <v>0</v>
      </c>
      <c r="J35" s="98">
        <v>0</v>
      </c>
    </row>
    <row r="36" spans="1:10" x14ac:dyDescent="0.25">
      <c r="A36" s="97" t="s">
        <v>41</v>
      </c>
      <c r="B36" s="97" t="s">
        <v>219</v>
      </c>
      <c r="C36" s="97" t="s">
        <v>445</v>
      </c>
      <c r="D36" s="98">
        <v>132791</v>
      </c>
      <c r="E36" s="98">
        <v>0</v>
      </c>
      <c r="F36" s="98">
        <v>37411</v>
      </c>
      <c r="G36" s="98">
        <v>1182</v>
      </c>
      <c r="H36" s="98">
        <v>0</v>
      </c>
      <c r="I36" s="98">
        <v>0</v>
      </c>
      <c r="J36" s="98">
        <v>0</v>
      </c>
    </row>
    <row r="37" spans="1:10" x14ac:dyDescent="0.25">
      <c r="A37" s="97" t="s">
        <v>42</v>
      </c>
      <c r="B37" s="97" t="s">
        <v>220</v>
      </c>
      <c r="C37" s="97" t="s">
        <v>445</v>
      </c>
      <c r="D37" s="98">
        <v>98450</v>
      </c>
      <c r="E37" s="98">
        <v>0</v>
      </c>
      <c r="F37" s="98">
        <v>25178</v>
      </c>
      <c r="G37" s="98">
        <v>2550</v>
      </c>
      <c r="H37" s="98">
        <v>0</v>
      </c>
      <c r="I37" s="98">
        <v>0</v>
      </c>
      <c r="J37" s="98">
        <v>0</v>
      </c>
    </row>
    <row r="38" spans="1:10" x14ac:dyDescent="0.25">
      <c r="A38" s="97" t="s">
        <v>43</v>
      </c>
      <c r="B38" s="97" t="s">
        <v>446</v>
      </c>
      <c r="C38" s="97" t="s">
        <v>447</v>
      </c>
      <c r="D38" s="98">
        <v>211476</v>
      </c>
      <c r="E38" s="98">
        <v>0</v>
      </c>
      <c r="F38" s="98">
        <v>45429</v>
      </c>
      <c r="G38" s="98">
        <v>124</v>
      </c>
      <c r="H38" s="98">
        <v>0</v>
      </c>
      <c r="I38" s="98">
        <v>0</v>
      </c>
      <c r="J38" s="98">
        <v>0</v>
      </c>
    </row>
    <row r="39" spans="1:10" x14ac:dyDescent="0.25">
      <c r="A39" s="97" t="s">
        <v>44</v>
      </c>
      <c r="B39" s="97" t="s">
        <v>448</v>
      </c>
      <c r="C39" s="97" t="s">
        <v>449</v>
      </c>
      <c r="D39" s="98">
        <v>109885</v>
      </c>
      <c r="E39" s="98">
        <v>0</v>
      </c>
      <c r="F39" s="98">
        <v>28020</v>
      </c>
      <c r="G39" s="98">
        <v>0</v>
      </c>
      <c r="H39" s="98">
        <v>0</v>
      </c>
      <c r="I39" s="98">
        <v>0</v>
      </c>
      <c r="J39" s="98">
        <v>0</v>
      </c>
    </row>
    <row r="40" spans="1:10" x14ac:dyDescent="0.25">
      <c r="A40" s="97" t="s">
        <v>45</v>
      </c>
      <c r="B40" s="97" t="s">
        <v>223</v>
      </c>
      <c r="C40" s="97" t="s">
        <v>450</v>
      </c>
      <c r="D40" s="98">
        <v>848275</v>
      </c>
      <c r="E40" s="98">
        <v>0</v>
      </c>
      <c r="F40" s="98">
        <v>218265</v>
      </c>
      <c r="G40" s="98">
        <v>21520</v>
      </c>
      <c r="H40" s="98">
        <v>173</v>
      </c>
      <c r="I40" s="98">
        <v>943</v>
      </c>
      <c r="J40" s="98">
        <v>0</v>
      </c>
    </row>
    <row r="41" spans="1:10" x14ac:dyDescent="0.25">
      <c r="A41" s="97" t="s">
        <v>46</v>
      </c>
      <c r="B41" s="97" t="s">
        <v>224</v>
      </c>
      <c r="C41" s="97" t="s">
        <v>451</v>
      </c>
      <c r="D41" s="98">
        <v>30355586</v>
      </c>
      <c r="E41" s="98">
        <v>525874</v>
      </c>
      <c r="F41" s="98">
        <v>4132234</v>
      </c>
      <c r="G41" s="98">
        <v>1841177</v>
      </c>
      <c r="H41" s="98">
        <v>0</v>
      </c>
      <c r="I41" s="98">
        <v>0</v>
      </c>
      <c r="J41" s="98">
        <v>0</v>
      </c>
    </row>
    <row r="42" spans="1:10" x14ac:dyDescent="0.25">
      <c r="A42" s="97" t="s">
        <v>47</v>
      </c>
      <c r="B42" s="97" t="s">
        <v>452</v>
      </c>
      <c r="C42" s="97" t="s">
        <v>453</v>
      </c>
      <c r="D42" s="98">
        <v>44553</v>
      </c>
      <c r="E42" s="98">
        <v>0</v>
      </c>
      <c r="F42" s="98">
        <v>14685</v>
      </c>
      <c r="G42" s="98">
        <v>0</v>
      </c>
      <c r="H42" s="98">
        <v>0</v>
      </c>
      <c r="I42" s="98">
        <v>0</v>
      </c>
      <c r="J42" s="98">
        <v>0</v>
      </c>
    </row>
    <row r="43" spans="1:10" x14ac:dyDescent="0.25">
      <c r="A43" s="97" t="s">
        <v>48</v>
      </c>
      <c r="B43" s="97" t="s">
        <v>454</v>
      </c>
      <c r="C43" s="97" t="s">
        <v>455</v>
      </c>
      <c r="D43" s="98">
        <v>1833725</v>
      </c>
      <c r="E43" s="98">
        <v>0</v>
      </c>
      <c r="F43" s="98">
        <v>463330</v>
      </c>
      <c r="G43" s="98">
        <v>200146</v>
      </c>
      <c r="H43" s="98">
        <v>0</v>
      </c>
      <c r="I43" s="98">
        <v>0</v>
      </c>
      <c r="J43" s="98">
        <v>0</v>
      </c>
    </row>
    <row r="44" spans="1:10" x14ac:dyDescent="0.25">
      <c r="A44" s="97" t="s">
        <v>49</v>
      </c>
      <c r="B44" s="97" t="s">
        <v>456</v>
      </c>
      <c r="C44" s="97" t="s">
        <v>457</v>
      </c>
      <c r="D44" s="98">
        <v>704856</v>
      </c>
      <c r="E44" s="98">
        <v>0</v>
      </c>
      <c r="F44" s="98">
        <v>103491</v>
      </c>
      <c r="G44" s="98">
        <v>144605</v>
      </c>
      <c r="H44" s="98">
        <v>3108</v>
      </c>
      <c r="I44" s="98">
        <v>16975</v>
      </c>
      <c r="J44" s="98">
        <v>0</v>
      </c>
    </row>
    <row r="45" spans="1:10" x14ac:dyDescent="0.25">
      <c r="A45" s="97" t="s">
        <v>50</v>
      </c>
      <c r="B45" s="97" t="s">
        <v>228</v>
      </c>
      <c r="C45" s="97" t="s">
        <v>458</v>
      </c>
      <c r="D45" s="98">
        <v>154546</v>
      </c>
      <c r="E45" s="98">
        <v>0</v>
      </c>
      <c r="F45" s="98">
        <v>41282</v>
      </c>
      <c r="G45" s="98">
        <v>2052</v>
      </c>
      <c r="H45" s="98">
        <v>0</v>
      </c>
      <c r="I45" s="98">
        <v>0</v>
      </c>
      <c r="J45" s="98">
        <v>0</v>
      </c>
    </row>
    <row r="46" spans="1:10" x14ac:dyDescent="0.25">
      <c r="A46" s="97" t="s">
        <v>51</v>
      </c>
      <c r="B46" s="97" t="s">
        <v>229</v>
      </c>
      <c r="C46" s="97" t="s">
        <v>458</v>
      </c>
      <c r="D46" s="98">
        <v>24929</v>
      </c>
      <c r="E46" s="98">
        <v>0</v>
      </c>
      <c r="F46" s="98">
        <v>9704</v>
      </c>
      <c r="G46" s="98">
        <v>560</v>
      </c>
      <c r="H46" s="98">
        <v>0</v>
      </c>
      <c r="I46" s="98">
        <v>0</v>
      </c>
      <c r="J46" s="98">
        <v>0</v>
      </c>
    </row>
    <row r="47" spans="1:10" x14ac:dyDescent="0.25">
      <c r="A47" s="97" t="s">
        <v>52</v>
      </c>
      <c r="B47" s="97" t="s">
        <v>230</v>
      </c>
      <c r="C47" s="97" t="s">
        <v>458</v>
      </c>
      <c r="D47" s="98">
        <v>61728</v>
      </c>
      <c r="E47" s="98">
        <v>0</v>
      </c>
      <c r="F47" s="98">
        <v>23555</v>
      </c>
      <c r="G47" s="98">
        <v>0</v>
      </c>
      <c r="H47" s="98">
        <v>0</v>
      </c>
      <c r="I47" s="98">
        <v>0</v>
      </c>
      <c r="J47" s="98">
        <v>0</v>
      </c>
    </row>
    <row r="48" spans="1:10" x14ac:dyDescent="0.25">
      <c r="A48" s="97" t="s">
        <v>53</v>
      </c>
      <c r="B48" s="97" t="s">
        <v>231</v>
      </c>
      <c r="C48" s="97" t="s">
        <v>458</v>
      </c>
      <c r="D48" s="98">
        <v>18009</v>
      </c>
      <c r="E48" s="98">
        <v>0</v>
      </c>
      <c r="F48" s="98">
        <v>2406</v>
      </c>
      <c r="G48" s="98">
        <v>0</v>
      </c>
      <c r="H48" s="98">
        <v>0</v>
      </c>
      <c r="I48" s="98">
        <v>0</v>
      </c>
      <c r="J48" s="98">
        <v>0</v>
      </c>
    </row>
    <row r="49" spans="1:10" x14ac:dyDescent="0.25">
      <c r="A49" s="97" t="s">
        <v>54</v>
      </c>
      <c r="B49" s="97" t="s">
        <v>232</v>
      </c>
      <c r="C49" s="97" t="s">
        <v>458</v>
      </c>
      <c r="D49" s="98">
        <v>9723</v>
      </c>
      <c r="E49" s="98">
        <v>0</v>
      </c>
      <c r="F49" s="98">
        <v>987</v>
      </c>
      <c r="G49" s="98">
        <v>0</v>
      </c>
      <c r="H49" s="98">
        <v>0</v>
      </c>
      <c r="I49" s="98">
        <v>0</v>
      </c>
      <c r="J49" s="98">
        <v>0</v>
      </c>
    </row>
    <row r="50" spans="1:10" x14ac:dyDescent="0.25">
      <c r="A50" s="97" t="s">
        <v>55</v>
      </c>
      <c r="B50" s="97" t="s">
        <v>459</v>
      </c>
      <c r="C50" s="97" t="s">
        <v>460</v>
      </c>
      <c r="D50" s="98">
        <v>81203</v>
      </c>
      <c r="E50" s="98">
        <v>0</v>
      </c>
      <c r="F50" s="98">
        <v>12995</v>
      </c>
      <c r="G50" s="98">
        <v>0</v>
      </c>
      <c r="H50" s="98">
        <v>0</v>
      </c>
      <c r="I50" s="98">
        <v>0</v>
      </c>
      <c r="J50" s="98">
        <v>0</v>
      </c>
    </row>
    <row r="51" spans="1:10" x14ac:dyDescent="0.25">
      <c r="A51" s="97" t="s">
        <v>56</v>
      </c>
      <c r="B51" s="97" t="s">
        <v>234</v>
      </c>
      <c r="C51" s="97" t="s">
        <v>460</v>
      </c>
      <c r="D51" s="98">
        <v>4058972</v>
      </c>
      <c r="E51" s="98">
        <v>0</v>
      </c>
      <c r="F51" s="98">
        <v>560351</v>
      </c>
      <c r="G51" s="98">
        <v>143983</v>
      </c>
      <c r="H51" s="98">
        <v>86</v>
      </c>
      <c r="I51" s="98">
        <v>472</v>
      </c>
      <c r="J51" s="98">
        <v>0</v>
      </c>
    </row>
    <row r="52" spans="1:10" x14ac:dyDescent="0.25">
      <c r="A52" s="97" t="s">
        <v>57</v>
      </c>
      <c r="B52" s="97" t="s">
        <v>235</v>
      </c>
      <c r="C52" s="97" t="s">
        <v>460</v>
      </c>
      <c r="D52" s="98">
        <v>1249697</v>
      </c>
      <c r="E52" s="98">
        <v>0</v>
      </c>
      <c r="F52" s="98">
        <v>245896</v>
      </c>
      <c r="G52" s="98">
        <v>12874</v>
      </c>
      <c r="H52" s="96">
        <v>0</v>
      </c>
      <c r="I52" s="98">
        <v>15560</v>
      </c>
      <c r="J52" s="98">
        <v>0</v>
      </c>
    </row>
    <row r="53" spans="1:10" x14ac:dyDescent="0.25">
      <c r="A53" s="97" t="s">
        <v>58</v>
      </c>
      <c r="B53" s="97" t="s">
        <v>236</v>
      </c>
      <c r="C53" s="97" t="s">
        <v>460</v>
      </c>
      <c r="D53" s="98">
        <v>1699157</v>
      </c>
      <c r="E53" s="98">
        <v>0</v>
      </c>
      <c r="F53" s="98">
        <v>146684</v>
      </c>
      <c r="G53" s="98">
        <v>25500</v>
      </c>
      <c r="H53" s="98">
        <v>0</v>
      </c>
      <c r="I53" s="98">
        <v>0</v>
      </c>
      <c r="J53" s="98">
        <v>0</v>
      </c>
    </row>
    <row r="54" spans="1:10" x14ac:dyDescent="0.25">
      <c r="A54" s="97" t="s">
        <v>59</v>
      </c>
      <c r="B54" s="97" t="s">
        <v>237</v>
      </c>
      <c r="C54" s="97" t="s">
        <v>460</v>
      </c>
      <c r="D54" s="98">
        <v>7155565</v>
      </c>
      <c r="E54" s="98">
        <v>15287</v>
      </c>
      <c r="F54" s="98">
        <v>1234884</v>
      </c>
      <c r="G54" s="98">
        <v>161211</v>
      </c>
      <c r="H54" s="98">
        <v>0</v>
      </c>
      <c r="I54" s="98">
        <v>0</v>
      </c>
      <c r="J54" s="98">
        <v>0</v>
      </c>
    </row>
    <row r="55" spans="1:10" x14ac:dyDescent="0.25">
      <c r="A55" s="97" t="s">
        <v>60</v>
      </c>
      <c r="B55" s="97" t="s">
        <v>238</v>
      </c>
      <c r="C55" s="97" t="s">
        <v>460</v>
      </c>
      <c r="D55" s="98">
        <v>174917</v>
      </c>
      <c r="E55" s="98">
        <v>0</v>
      </c>
      <c r="F55" s="98">
        <v>65839</v>
      </c>
      <c r="G55" s="98">
        <v>9578</v>
      </c>
      <c r="H55" s="98">
        <v>0</v>
      </c>
      <c r="I55" s="98">
        <v>0</v>
      </c>
      <c r="J55" s="98">
        <v>0</v>
      </c>
    </row>
    <row r="56" spans="1:10" x14ac:dyDescent="0.25">
      <c r="A56" s="97" t="s">
        <v>61</v>
      </c>
      <c r="B56" s="97" t="s">
        <v>239</v>
      </c>
      <c r="C56" s="97" t="s">
        <v>460</v>
      </c>
      <c r="D56" s="98">
        <v>166287</v>
      </c>
      <c r="E56" s="98">
        <v>0</v>
      </c>
      <c r="F56" s="98">
        <v>87609</v>
      </c>
      <c r="G56" s="98">
        <v>0</v>
      </c>
      <c r="H56" s="98">
        <v>0</v>
      </c>
      <c r="I56" s="98">
        <v>0</v>
      </c>
      <c r="J56" s="98">
        <v>0</v>
      </c>
    </row>
    <row r="57" spans="1:10" x14ac:dyDescent="0.25">
      <c r="A57" s="97" t="s">
        <v>62</v>
      </c>
      <c r="B57" s="97" t="s">
        <v>240</v>
      </c>
      <c r="C57" s="97" t="s">
        <v>460</v>
      </c>
      <c r="D57" s="98">
        <v>543699</v>
      </c>
      <c r="E57" s="98">
        <v>0</v>
      </c>
      <c r="F57" s="98">
        <v>236546</v>
      </c>
      <c r="G57" s="98">
        <v>32591</v>
      </c>
      <c r="H57" s="98">
        <v>13900</v>
      </c>
      <c r="I57" s="98">
        <v>75916</v>
      </c>
      <c r="J57" s="98">
        <v>0</v>
      </c>
    </row>
    <row r="58" spans="1:10" x14ac:dyDescent="0.25">
      <c r="A58" s="97" t="s">
        <v>63</v>
      </c>
      <c r="B58" s="97" t="s">
        <v>241</v>
      </c>
      <c r="C58" s="97" t="s">
        <v>460</v>
      </c>
      <c r="D58" s="98">
        <v>147637</v>
      </c>
      <c r="E58" s="98">
        <v>0</v>
      </c>
      <c r="F58" s="98">
        <v>29694</v>
      </c>
      <c r="G58" s="98">
        <v>8148</v>
      </c>
      <c r="H58" s="98">
        <v>0</v>
      </c>
      <c r="I58" s="98">
        <v>0</v>
      </c>
      <c r="J58" s="98">
        <v>0</v>
      </c>
    </row>
    <row r="59" spans="1:10" x14ac:dyDescent="0.25">
      <c r="A59" s="97" t="s">
        <v>64</v>
      </c>
      <c r="B59" s="97" t="s">
        <v>461</v>
      </c>
      <c r="C59" s="97" t="s">
        <v>460</v>
      </c>
      <c r="D59" s="98">
        <v>116612</v>
      </c>
      <c r="E59" s="98">
        <v>0</v>
      </c>
      <c r="F59" s="98">
        <v>18253</v>
      </c>
      <c r="G59" s="98">
        <v>871</v>
      </c>
      <c r="H59" s="98">
        <v>0</v>
      </c>
      <c r="I59" s="98">
        <v>0</v>
      </c>
      <c r="J59" s="98">
        <v>0</v>
      </c>
    </row>
    <row r="60" spans="1:10" x14ac:dyDescent="0.25">
      <c r="A60" s="97" t="s">
        <v>65</v>
      </c>
      <c r="B60" s="97" t="s">
        <v>243</v>
      </c>
      <c r="C60" s="97" t="s">
        <v>460</v>
      </c>
      <c r="D60" s="98">
        <v>38683</v>
      </c>
      <c r="E60" s="98">
        <v>0</v>
      </c>
      <c r="F60" s="98">
        <v>6429</v>
      </c>
      <c r="G60" s="98">
        <v>1990</v>
      </c>
      <c r="H60" s="98">
        <v>0</v>
      </c>
      <c r="I60" s="98">
        <v>0</v>
      </c>
      <c r="J60" s="98">
        <v>0</v>
      </c>
    </row>
    <row r="61" spans="1:10" x14ac:dyDescent="0.25">
      <c r="A61" s="97" t="s">
        <v>66</v>
      </c>
      <c r="B61" s="97" t="s">
        <v>244</v>
      </c>
      <c r="C61" s="97" t="s">
        <v>460</v>
      </c>
      <c r="D61" s="98">
        <v>152419</v>
      </c>
      <c r="E61" s="98">
        <v>0</v>
      </c>
      <c r="F61" s="98">
        <v>59545</v>
      </c>
      <c r="G61" s="98">
        <v>14989</v>
      </c>
      <c r="H61" s="98">
        <v>0</v>
      </c>
      <c r="I61" s="98">
        <v>0</v>
      </c>
      <c r="J61" s="98">
        <v>0</v>
      </c>
    </row>
    <row r="62" spans="1:10" x14ac:dyDescent="0.25">
      <c r="A62" s="97" t="s">
        <v>67</v>
      </c>
      <c r="B62" s="97" t="s">
        <v>245</v>
      </c>
      <c r="C62" s="97" t="s">
        <v>460</v>
      </c>
      <c r="D62" s="98">
        <v>1061572</v>
      </c>
      <c r="E62" s="98">
        <v>0</v>
      </c>
      <c r="F62" s="98">
        <v>118984</v>
      </c>
      <c r="G62" s="98">
        <v>53177</v>
      </c>
      <c r="H62" s="98">
        <v>1295</v>
      </c>
      <c r="I62" s="98">
        <v>7073</v>
      </c>
      <c r="J62" s="98">
        <v>0</v>
      </c>
    </row>
    <row r="63" spans="1:10" x14ac:dyDescent="0.25">
      <c r="A63" s="97" t="s">
        <v>68</v>
      </c>
      <c r="B63" s="97" t="s">
        <v>462</v>
      </c>
      <c r="C63" s="97" t="s">
        <v>460</v>
      </c>
      <c r="D63" s="98">
        <v>22156</v>
      </c>
      <c r="E63" s="98">
        <v>0</v>
      </c>
      <c r="F63" s="98">
        <v>870</v>
      </c>
      <c r="G63" s="98">
        <v>0</v>
      </c>
      <c r="H63" s="98">
        <v>0</v>
      </c>
      <c r="I63" s="98">
        <v>0</v>
      </c>
      <c r="J63" s="98">
        <v>0</v>
      </c>
    </row>
    <row r="64" spans="1:10" x14ac:dyDescent="0.25">
      <c r="A64" s="97" t="s">
        <v>69</v>
      </c>
      <c r="B64" s="97" t="s">
        <v>463</v>
      </c>
      <c r="C64" s="97" t="s">
        <v>460</v>
      </c>
      <c r="D64" s="98">
        <v>146240</v>
      </c>
      <c r="E64" s="98">
        <v>0</v>
      </c>
      <c r="F64" s="98">
        <v>12084</v>
      </c>
      <c r="G64" s="98">
        <v>311</v>
      </c>
      <c r="H64" s="98">
        <v>0</v>
      </c>
      <c r="I64" s="98">
        <v>0</v>
      </c>
      <c r="J64" s="98">
        <v>0</v>
      </c>
    </row>
    <row r="65" spans="1:10" x14ac:dyDescent="0.25">
      <c r="A65" s="97" t="s">
        <v>70</v>
      </c>
      <c r="B65" s="97" t="s">
        <v>464</v>
      </c>
      <c r="C65" s="97" t="s">
        <v>465</v>
      </c>
      <c r="D65" s="98">
        <v>1058179</v>
      </c>
      <c r="E65" s="98">
        <v>137583</v>
      </c>
      <c r="F65" s="98">
        <v>187367</v>
      </c>
      <c r="G65" s="98">
        <v>2239</v>
      </c>
      <c r="H65" s="98">
        <v>0</v>
      </c>
      <c r="I65" s="98">
        <v>0</v>
      </c>
      <c r="J65" s="98">
        <v>68745</v>
      </c>
    </row>
    <row r="66" spans="1:10" x14ac:dyDescent="0.25">
      <c r="A66" s="97" t="s">
        <v>71</v>
      </c>
      <c r="B66" s="97" t="s">
        <v>466</v>
      </c>
      <c r="C66" s="97" t="s">
        <v>465</v>
      </c>
      <c r="D66" s="98">
        <v>447721</v>
      </c>
      <c r="E66" s="98">
        <v>0</v>
      </c>
      <c r="F66" s="98">
        <v>101193</v>
      </c>
      <c r="G66" s="98">
        <v>1493</v>
      </c>
      <c r="H66" s="96">
        <v>0</v>
      </c>
      <c r="I66" s="96">
        <v>0</v>
      </c>
      <c r="J66" s="98">
        <v>26193</v>
      </c>
    </row>
    <row r="67" spans="1:10" x14ac:dyDescent="0.25">
      <c r="A67" s="97" t="s">
        <v>72</v>
      </c>
      <c r="B67" s="97" t="s">
        <v>467</v>
      </c>
      <c r="C67" s="97" t="s">
        <v>465</v>
      </c>
      <c r="D67" s="98">
        <v>73925</v>
      </c>
      <c r="E67" s="98">
        <v>0</v>
      </c>
      <c r="F67" s="98">
        <v>6454</v>
      </c>
      <c r="G67" s="98">
        <v>0</v>
      </c>
      <c r="H67" s="98">
        <v>0</v>
      </c>
      <c r="I67" s="98">
        <v>0</v>
      </c>
      <c r="J67" s="98">
        <v>0</v>
      </c>
    </row>
    <row r="68" spans="1:10" x14ac:dyDescent="0.25">
      <c r="A68" s="97" t="s">
        <v>73</v>
      </c>
      <c r="B68" s="97" t="s">
        <v>468</v>
      </c>
      <c r="C68" s="97" t="s">
        <v>469</v>
      </c>
      <c r="D68" s="98">
        <v>555726</v>
      </c>
      <c r="E68" s="98">
        <v>0</v>
      </c>
      <c r="F68" s="98">
        <v>118797</v>
      </c>
      <c r="G68" s="98">
        <v>109029</v>
      </c>
      <c r="H68" s="98">
        <v>4230</v>
      </c>
      <c r="I68" s="98">
        <v>23105</v>
      </c>
      <c r="J68" s="98">
        <v>0</v>
      </c>
    </row>
    <row r="69" spans="1:10" x14ac:dyDescent="0.25">
      <c r="A69" s="97" t="s">
        <v>74</v>
      </c>
      <c r="B69" s="97" t="s">
        <v>470</v>
      </c>
      <c r="C69" s="97" t="s">
        <v>469</v>
      </c>
      <c r="D69" s="98">
        <v>619654</v>
      </c>
      <c r="E69" s="98">
        <v>0</v>
      </c>
      <c r="F69" s="98">
        <v>125560</v>
      </c>
      <c r="G69" s="98">
        <v>54421</v>
      </c>
      <c r="H69" s="98">
        <v>1036</v>
      </c>
      <c r="I69" s="98">
        <v>5658</v>
      </c>
      <c r="J69" s="98">
        <v>0</v>
      </c>
    </row>
    <row r="70" spans="1:10" x14ac:dyDescent="0.25">
      <c r="A70" s="97" t="s">
        <v>75</v>
      </c>
      <c r="B70" s="97" t="s">
        <v>253</v>
      </c>
      <c r="C70" s="97" t="s">
        <v>469</v>
      </c>
      <c r="D70" s="98">
        <v>216322</v>
      </c>
      <c r="E70" s="98">
        <v>0</v>
      </c>
      <c r="F70" s="98">
        <v>27861</v>
      </c>
      <c r="G70" s="98">
        <v>12564</v>
      </c>
      <c r="H70" s="98">
        <v>0</v>
      </c>
      <c r="I70" s="98">
        <v>0</v>
      </c>
      <c r="J70" s="98">
        <v>18169</v>
      </c>
    </row>
    <row r="71" spans="1:10" x14ac:dyDescent="0.25">
      <c r="A71" s="97" t="s">
        <v>76</v>
      </c>
      <c r="B71" s="97" t="s">
        <v>471</v>
      </c>
      <c r="C71" s="97" t="s">
        <v>472</v>
      </c>
      <c r="D71" s="98">
        <v>11485</v>
      </c>
      <c r="E71" s="98">
        <v>0</v>
      </c>
      <c r="F71" s="98">
        <v>10933</v>
      </c>
      <c r="G71" s="98">
        <v>0</v>
      </c>
      <c r="H71" s="98">
        <v>0</v>
      </c>
      <c r="I71" s="98">
        <v>0</v>
      </c>
      <c r="J71" s="98">
        <v>0</v>
      </c>
    </row>
    <row r="72" spans="1:10" x14ac:dyDescent="0.25">
      <c r="A72" s="97" t="s">
        <v>77</v>
      </c>
      <c r="B72" s="97" t="s">
        <v>473</v>
      </c>
      <c r="C72" s="97" t="s">
        <v>474</v>
      </c>
      <c r="D72" s="98">
        <v>85077</v>
      </c>
      <c r="E72" s="98">
        <v>0</v>
      </c>
      <c r="F72" s="98">
        <v>19354</v>
      </c>
      <c r="G72" s="98">
        <v>2488</v>
      </c>
      <c r="H72" s="98">
        <v>0</v>
      </c>
      <c r="I72" s="98">
        <v>0</v>
      </c>
      <c r="J72" s="98">
        <v>0</v>
      </c>
    </row>
    <row r="73" spans="1:10" x14ac:dyDescent="0.25">
      <c r="A73" s="97" t="s">
        <v>78</v>
      </c>
      <c r="B73" s="97" t="s">
        <v>256</v>
      </c>
      <c r="C73" s="97" t="s">
        <v>474</v>
      </c>
      <c r="D73" s="98">
        <v>172435</v>
      </c>
      <c r="E73" s="98">
        <v>0</v>
      </c>
      <c r="F73" s="98">
        <v>27572</v>
      </c>
      <c r="G73" s="98">
        <v>7215</v>
      </c>
      <c r="H73" s="98">
        <v>0</v>
      </c>
      <c r="I73" s="98">
        <v>0</v>
      </c>
      <c r="J73" s="98">
        <v>0</v>
      </c>
    </row>
    <row r="74" spans="1:10" x14ac:dyDescent="0.25">
      <c r="A74" s="97" t="s">
        <v>79</v>
      </c>
      <c r="B74" s="97" t="s">
        <v>475</v>
      </c>
      <c r="C74" s="97" t="s">
        <v>476</v>
      </c>
      <c r="D74" s="98">
        <v>277596</v>
      </c>
      <c r="E74" s="98">
        <v>0</v>
      </c>
      <c r="F74" s="98">
        <v>58240</v>
      </c>
      <c r="G74" s="98">
        <v>10573</v>
      </c>
      <c r="H74" s="98">
        <v>0</v>
      </c>
      <c r="I74" s="98">
        <v>0</v>
      </c>
      <c r="J74" s="98">
        <v>0</v>
      </c>
    </row>
    <row r="75" spans="1:10" x14ac:dyDescent="0.25">
      <c r="A75" s="97" t="s">
        <v>80</v>
      </c>
      <c r="B75" s="97" t="s">
        <v>477</v>
      </c>
      <c r="C75" s="97" t="s">
        <v>478</v>
      </c>
      <c r="D75" s="98">
        <v>24539</v>
      </c>
      <c r="E75" s="98">
        <v>0</v>
      </c>
      <c r="F75" s="98">
        <v>4042</v>
      </c>
      <c r="G75" s="98">
        <v>187</v>
      </c>
      <c r="H75" s="98">
        <v>0</v>
      </c>
      <c r="I75" s="98">
        <v>0</v>
      </c>
      <c r="J75" s="98">
        <v>0</v>
      </c>
    </row>
    <row r="76" spans="1:10" x14ac:dyDescent="0.25">
      <c r="A76" s="97" t="s">
        <v>81</v>
      </c>
      <c r="B76" s="97" t="s">
        <v>479</v>
      </c>
      <c r="C76" s="97" t="s">
        <v>480</v>
      </c>
      <c r="D76" s="98">
        <v>289633</v>
      </c>
      <c r="E76" s="98">
        <v>0</v>
      </c>
      <c r="F76" s="98">
        <v>63831</v>
      </c>
      <c r="G76" s="98">
        <v>746</v>
      </c>
      <c r="H76" s="98">
        <v>0</v>
      </c>
      <c r="I76" s="98">
        <v>0</v>
      </c>
      <c r="J76" s="98">
        <v>0</v>
      </c>
    </row>
    <row r="77" spans="1:10" x14ac:dyDescent="0.25">
      <c r="A77" s="97" t="s">
        <v>82</v>
      </c>
      <c r="B77" s="97" t="s">
        <v>481</v>
      </c>
      <c r="C77" s="97" t="s">
        <v>480</v>
      </c>
      <c r="D77" s="98">
        <v>28787</v>
      </c>
      <c r="E77" s="98">
        <v>0</v>
      </c>
      <c r="F77" s="98">
        <v>15280</v>
      </c>
      <c r="G77" s="98">
        <v>0</v>
      </c>
      <c r="H77" s="98">
        <v>0</v>
      </c>
      <c r="I77" s="98">
        <v>0</v>
      </c>
      <c r="J77" s="98">
        <v>0</v>
      </c>
    </row>
    <row r="78" spans="1:10" x14ac:dyDescent="0.25">
      <c r="A78" s="97" t="s">
        <v>83</v>
      </c>
      <c r="B78" s="97" t="s">
        <v>261</v>
      </c>
      <c r="C78" s="97" t="s">
        <v>482</v>
      </c>
      <c r="D78" s="98">
        <v>39900</v>
      </c>
      <c r="E78" s="98">
        <v>0</v>
      </c>
      <c r="F78" s="98">
        <v>11116</v>
      </c>
      <c r="G78" s="98">
        <v>1244</v>
      </c>
      <c r="H78" s="98">
        <v>0</v>
      </c>
      <c r="I78" s="98">
        <v>0</v>
      </c>
      <c r="J78" s="98">
        <v>0</v>
      </c>
    </row>
    <row r="79" spans="1:10" x14ac:dyDescent="0.25">
      <c r="A79" s="97" t="s">
        <v>84</v>
      </c>
      <c r="B79" s="97" t="s">
        <v>262</v>
      </c>
      <c r="C79" s="97" t="s">
        <v>483</v>
      </c>
      <c r="D79" s="98">
        <v>11137945</v>
      </c>
      <c r="E79" s="98">
        <v>36689</v>
      </c>
      <c r="F79" s="98">
        <v>1901702</v>
      </c>
      <c r="G79" s="98">
        <v>411548</v>
      </c>
      <c r="H79" s="98">
        <v>0</v>
      </c>
      <c r="I79" s="98">
        <v>0</v>
      </c>
      <c r="J79" s="98">
        <v>0</v>
      </c>
    </row>
    <row r="80" spans="1:10" x14ac:dyDescent="0.25">
      <c r="A80" s="97" t="s">
        <v>85</v>
      </c>
      <c r="B80" s="97" t="s">
        <v>484</v>
      </c>
      <c r="C80" s="97" t="s">
        <v>485</v>
      </c>
      <c r="D80" s="98">
        <v>24780</v>
      </c>
      <c r="E80" s="98">
        <v>0</v>
      </c>
      <c r="F80" s="98">
        <v>11912</v>
      </c>
      <c r="G80" s="98">
        <v>0</v>
      </c>
      <c r="H80" s="98">
        <v>0</v>
      </c>
      <c r="I80" s="98">
        <v>0</v>
      </c>
      <c r="J80" s="98">
        <v>0</v>
      </c>
    </row>
    <row r="81" spans="1:10" x14ac:dyDescent="0.25">
      <c r="A81" s="97" t="s">
        <v>86</v>
      </c>
      <c r="B81" s="97" t="s">
        <v>486</v>
      </c>
      <c r="C81" s="97" t="s">
        <v>485</v>
      </c>
      <c r="D81" s="98">
        <v>13620</v>
      </c>
      <c r="E81" s="98">
        <v>0</v>
      </c>
      <c r="F81" s="98">
        <v>878</v>
      </c>
      <c r="G81" s="98">
        <v>0</v>
      </c>
      <c r="H81" s="98">
        <v>0</v>
      </c>
      <c r="I81" s="98">
        <v>0</v>
      </c>
      <c r="J81" s="98">
        <v>0</v>
      </c>
    </row>
    <row r="82" spans="1:10" x14ac:dyDescent="0.25">
      <c r="A82" s="97" t="s">
        <v>87</v>
      </c>
      <c r="B82" s="97" t="s">
        <v>265</v>
      </c>
      <c r="C82" s="97" t="s">
        <v>487</v>
      </c>
      <c r="D82" s="98">
        <v>37403</v>
      </c>
      <c r="E82" s="98">
        <v>0</v>
      </c>
      <c r="F82" s="98">
        <v>11174</v>
      </c>
      <c r="G82" s="98">
        <v>0</v>
      </c>
      <c r="H82" s="98">
        <v>0</v>
      </c>
      <c r="I82" s="98">
        <v>0</v>
      </c>
      <c r="J82" s="98">
        <v>0</v>
      </c>
    </row>
    <row r="83" spans="1:10" x14ac:dyDescent="0.25">
      <c r="A83" s="97" t="s">
        <v>88</v>
      </c>
      <c r="B83" s="97" t="s">
        <v>266</v>
      </c>
      <c r="C83" s="97" t="s">
        <v>487</v>
      </c>
      <c r="D83" s="98">
        <v>22333</v>
      </c>
      <c r="E83" s="98">
        <v>0</v>
      </c>
      <c r="F83" s="98">
        <v>4350</v>
      </c>
      <c r="G83" s="98">
        <v>249</v>
      </c>
      <c r="H83" s="98">
        <v>0</v>
      </c>
      <c r="I83" s="98">
        <v>0</v>
      </c>
      <c r="J83" s="98">
        <v>0</v>
      </c>
    </row>
    <row r="84" spans="1:10" x14ac:dyDescent="0.25">
      <c r="A84" s="97" t="s">
        <v>89</v>
      </c>
      <c r="B84" s="97" t="s">
        <v>267</v>
      </c>
      <c r="C84" s="97" t="s">
        <v>487</v>
      </c>
      <c r="D84" s="98">
        <v>35451</v>
      </c>
      <c r="E84" s="98">
        <v>0</v>
      </c>
      <c r="F84" s="98">
        <v>9204</v>
      </c>
      <c r="G84" s="98">
        <v>1306</v>
      </c>
      <c r="H84" s="98">
        <v>0</v>
      </c>
      <c r="I84" s="98">
        <v>0</v>
      </c>
      <c r="J84" s="98">
        <v>0</v>
      </c>
    </row>
    <row r="85" spans="1:10" x14ac:dyDescent="0.25">
      <c r="A85" s="97" t="s">
        <v>90</v>
      </c>
      <c r="B85" s="97" t="s">
        <v>268</v>
      </c>
      <c r="C85" s="97" t="s">
        <v>487</v>
      </c>
      <c r="D85" s="98">
        <v>28638</v>
      </c>
      <c r="E85" s="98">
        <v>0</v>
      </c>
      <c r="F85" s="98">
        <v>3765</v>
      </c>
      <c r="G85" s="98">
        <v>1990</v>
      </c>
      <c r="H85" s="98">
        <v>0</v>
      </c>
      <c r="I85" s="98">
        <v>0</v>
      </c>
      <c r="J85" s="98">
        <v>0</v>
      </c>
    </row>
    <row r="86" spans="1:10" x14ac:dyDescent="0.25">
      <c r="A86" s="97" t="s">
        <v>91</v>
      </c>
      <c r="B86" s="97" t="s">
        <v>488</v>
      </c>
      <c r="C86" s="97" t="s">
        <v>487</v>
      </c>
      <c r="D86" s="98">
        <v>103490</v>
      </c>
      <c r="E86" s="98">
        <v>0</v>
      </c>
      <c r="F86" s="98">
        <v>31869</v>
      </c>
      <c r="G86" s="98">
        <v>10573</v>
      </c>
      <c r="H86" s="98">
        <v>0</v>
      </c>
      <c r="I86" s="98">
        <v>0</v>
      </c>
      <c r="J86" s="98">
        <v>0</v>
      </c>
    </row>
    <row r="87" spans="1:10" x14ac:dyDescent="0.25">
      <c r="A87" s="97" t="s">
        <v>92</v>
      </c>
      <c r="B87" s="97" t="s">
        <v>270</v>
      </c>
      <c r="C87" s="97" t="s">
        <v>489</v>
      </c>
      <c r="D87" s="98">
        <v>273952</v>
      </c>
      <c r="E87" s="98">
        <v>0</v>
      </c>
      <c r="F87" s="98">
        <v>43594</v>
      </c>
      <c r="G87" s="98">
        <v>24505</v>
      </c>
      <c r="H87" s="98">
        <v>0</v>
      </c>
      <c r="I87" s="98">
        <v>0</v>
      </c>
      <c r="J87" s="98">
        <v>18745</v>
      </c>
    </row>
    <row r="88" spans="1:10" x14ac:dyDescent="0.25">
      <c r="A88" s="97" t="s">
        <v>93</v>
      </c>
      <c r="B88" s="97" t="s">
        <v>271</v>
      </c>
      <c r="C88" s="97" t="s">
        <v>490</v>
      </c>
      <c r="D88" s="98">
        <v>492375</v>
      </c>
      <c r="E88" s="98">
        <v>3830</v>
      </c>
      <c r="F88" s="98">
        <v>165802</v>
      </c>
      <c r="G88" s="98">
        <v>12937</v>
      </c>
      <c r="H88" s="98">
        <v>0</v>
      </c>
      <c r="I88" s="98">
        <v>0</v>
      </c>
      <c r="J88" s="98">
        <v>0</v>
      </c>
    </row>
    <row r="89" spans="1:10" x14ac:dyDescent="0.25">
      <c r="A89" s="97" t="s">
        <v>94</v>
      </c>
      <c r="B89" s="97" t="s">
        <v>491</v>
      </c>
      <c r="C89" s="97" t="s">
        <v>490</v>
      </c>
      <c r="D89" s="98">
        <v>88806</v>
      </c>
      <c r="E89" s="98">
        <v>0</v>
      </c>
      <c r="F89" s="98">
        <v>29240</v>
      </c>
      <c r="G89" s="98">
        <v>0</v>
      </c>
      <c r="H89" s="98">
        <v>345</v>
      </c>
      <c r="I89" s="98">
        <v>1886</v>
      </c>
      <c r="J89" s="98">
        <v>0</v>
      </c>
    </row>
    <row r="90" spans="1:10" x14ac:dyDescent="0.25">
      <c r="A90" s="97" t="s">
        <v>95</v>
      </c>
      <c r="B90" s="97" t="s">
        <v>492</v>
      </c>
      <c r="C90" s="97" t="s">
        <v>490</v>
      </c>
      <c r="D90" s="98">
        <v>177474</v>
      </c>
      <c r="E90" s="98">
        <v>0</v>
      </c>
      <c r="F90" s="98">
        <v>51208</v>
      </c>
      <c r="G90" s="98">
        <v>0</v>
      </c>
      <c r="H90" s="98">
        <v>0</v>
      </c>
      <c r="I90" s="98">
        <v>0</v>
      </c>
      <c r="J90" s="98">
        <v>15103</v>
      </c>
    </row>
    <row r="91" spans="1:10" x14ac:dyDescent="0.25">
      <c r="A91" s="97" t="s">
        <v>96</v>
      </c>
      <c r="B91" s="97" t="s">
        <v>274</v>
      </c>
      <c r="C91" s="97" t="s">
        <v>493</v>
      </c>
      <c r="D91" s="98">
        <v>2746985</v>
      </c>
      <c r="E91" s="98">
        <v>47237</v>
      </c>
      <c r="F91" s="98">
        <v>680174</v>
      </c>
      <c r="G91" s="98">
        <v>128994</v>
      </c>
      <c r="H91" s="98">
        <v>0</v>
      </c>
      <c r="I91" s="98">
        <v>0</v>
      </c>
      <c r="J91" s="98">
        <v>0</v>
      </c>
    </row>
    <row r="92" spans="1:10" x14ac:dyDescent="0.25">
      <c r="A92" s="97" t="s">
        <v>97</v>
      </c>
      <c r="B92" s="97" t="s">
        <v>494</v>
      </c>
      <c r="C92" s="97" t="s">
        <v>493</v>
      </c>
      <c r="D92" s="98">
        <v>1592294</v>
      </c>
      <c r="E92" s="98">
        <v>0</v>
      </c>
      <c r="F92" s="98">
        <v>350837</v>
      </c>
      <c r="G92" s="98">
        <v>35452</v>
      </c>
      <c r="H92" s="98">
        <v>0</v>
      </c>
      <c r="I92" s="98">
        <v>0</v>
      </c>
      <c r="J92" s="98">
        <v>0</v>
      </c>
    </row>
    <row r="93" spans="1:10" x14ac:dyDescent="0.25">
      <c r="A93" s="97" t="s">
        <v>98</v>
      </c>
      <c r="B93" s="97" t="s">
        <v>495</v>
      </c>
      <c r="C93" s="97" t="s">
        <v>493</v>
      </c>
      <c r="D93" s="98">
        <v>83878</v>
      </c>
      <c r="E93" s="98">
        <v>0</v>
      </c>
      <c r="F93" s="98">
        <v>39492</v>
      </c>
      <c r="G93" s="98">
        <v>11817</v>
      </c>
      <c r="H93" s="98">
        <v>0</v>
      </c>
      <c r="I93" s="98">
        <v>0</v>
      </c>
      <c r="J93" s="98">
        <v>0</v>
      </c>
    </row>
    <row r="94" spans="1:10" x14ac:dyDescent="0.25">
      <c r="A94" s="97" t="s">
        <v>99</v>
      </c>
      <c r="B94" s="97" t="s">
        <v>277</v>
      </c>
      <c r="C94" s="97" t="s">
        <v>496</v>
      </c>
      <c r="D94" s="98">
        <v>366181</v>
      </c>
      <c r="E94" s="98">
        <v>0</v>
      </c>
      <c r="F94" s="98">
        <v>114895</v>
      </c>
      <c r="G94" s="98">
        <v>2674</v>
      </c>
      <c r="H94" s="98">
        <v>0</v>
      </c>
      <c r="I94" s="98">
        <v>0</v>
      </c>
      <c r="J94" s="98">
        <v>0</v>
      </c>
    </row>
    <row r="95" spans="1:10" x14ac:dyDescent="0.25">
      <c r="A95" s="97" t="s">
        <v>100</v>
      </c>
      <c r="B95" s="97" t="s">
        <v>278</v>
      </c>
      <c r="C95" s="97" t="s">
        <v>496</v>
      </c>
      <c r="D95" s="98">
        <v>32573</v>
      </c>
      <c r="E95" s="98">
        <v>0</v>
      </c>
      <c r="F95" s="98">
        <v>9054</v>
      </c>
      <c r="G95" s="98">
        <v>187</v>
      </c>
      <c r="H95" s="98">
        <v>0</v>
      </c>
      <c r="I95" s="98">
        <v>0</v>
      </c>
      <c r="J95" s="98">
        <v>0</v>
      </c>
    </row>
    <row r="96" spans="1:10" x14ac:dyDescent="0.25">
      <c r="A96" s="97" t="s">
        <v>101</v>
      </c>
      <c r="B96" s="97" t="s">
        <v>279</v>
      </c>
      <c r="C96" s="97" t="s">
        <v>496</v>
      </c>
      <c r="D96" s="98">
        <v>34711</v>
      </c>
      <c r="E96" s="98">
        <v>0</v>
      </c>
      <c r="F96" s="98">
        <v>12530</v>
      </c>
      <c r="G96" s="98">
        <v>373</v>
      </c>
      <c r="H96" s="98">
        <v>0</v>
      </c>
      <c r="I96" s="98">
        <v>0</v>
      </c>
      <c r="J96" s="98">
        <v>0</v>
      </c>
    </row>
    <row r="97" spans="1:10" x14ac:dyDescent="0.25">
      <c r="A97" s="97" t="s">
        <v>102</v>
      </c>
      <c r="B97" s="97" t="s">
        <v>497</v>
      </c>
      <c r="C97" s="97" t="s">
        <v>496</v>
      </c>
      <c r="D97" s="98">
        <v>94315</v>
      </c>
      <c r="E97" s="98">
        <v>0</v>
      </c>
      <c r="F97" s="98">
        <v>18199</v>
      </c>
      <c r="G97" s="98">
        <v>187</v>
      </c>
      <c r="H97" s="98">
        <v>0</v>
      </c>
      <c r="I97" s="98">
        <v>0</v>
      </c>
      <c r="J97" s="98">
        <v>0</v>
      </c>
    </row>
    <row r="98" spans="1:10" x14ac:dyDescent="0.25">
      <c r="A98" s="97" t="s">
        <v>103</v>
      </c>
      <c r="B98" s="97" t="s">
        <v>281</v>
      </c>
      <c r="C98" s="97" t="s">
        <v>496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</row>
    <row r="99" spans="1:10" x14ac:dyDescent="0.25">
      <c r="A99" s="97" t="s">
        <v>104</v>
      </c>
      <c r="B99" s="97" t="s">
        <v>282</v>
      </c>
      <c r="C99" s="97" t="s">
        <v>496</v>
      </c>
      <c r="D99" s="98">
        <v>1541</v>
      </c>
      <c r="E99" s="98">
        <v>0</v>
      </c>
      <c r="F99" s="98">
        <v>5204</v>
      </c>
      <c r="G99" s="98">
        <v>0</v>
      </c>
      <c r="H99" s="98">
        <v>0</v>
      </c>
      <c r="I99" s="98">
        <v>0</v>
      </c>
      <c r="J99" s="98">
        <v>0</v>
      </c>
    </row>
    <row r="100" spans="1:10" x14ac:dyDescent="0.25">
      <c r="A100" s="97" t="s">
        <v>105</v>
      </c>
      <c r="B100" s="97" t="s">
        <v>283</v>
      </c>
      <c r="C100" s="97" t="s">
        <v>498</v>
      </c>
      <c r="D100" s="98">
        <v>38757</v>
      </c>
      <c r="E100" s="98">
        <v>0</v>
      </c>
      <c r="F100" s="98">
        <v>11442</v>
      </c>
      <c r="G100" s="98">
        <v>0</v>
      </c>
      <c r="H100" s="98">
        <v>0</v>
      </c>
      <c r="I100" s="98">
        <v>0</v>
      </c>
      <c r="J100" s="98">
        <v>0</v>
      </c>
    </row>
    <row r="101" spans="1:10" x14ac:dyDescent="0.25">
      <c r="A101" s="97" t="s">
        <v>106</v>
      </c>
      <c r="B101" s="97" t="s">
        <v>499</v>
      </c>
      <c r="C101" s="97" t="s">
        <v>498</v>
      </c>
      <c r="D101" s="98">
        <v>78445</v>
      </c>
      <c r="E101" s="98">
        <v>0</v>
      </c>
      <c r="F101" s="98">
        <v>19317</v>
      </c>
      <c r="G101" s="98">
        <v>1306</v>
      </c>
      <c r="H101" s="98">
        <v>0</v>
      </c>
      <c r="I101" s="98">
        <v>0</v>
      </c>
      <c r="J101" s="98">
        <v>0</v>
      </c>
    </row>
    <row r="102" spans="1:10" x14ac:dyDescent="0.25">
      <c r="A102" s="97" t="s">
        <v>107</v>
      </c>
      <c r="B102" s="97" t="s">
        <v>500</v>
      </c>
      <c r="C102" s="97" t="s">
        <v>498</v>
      </c>
      <c r="D102" s="98">
        <v>16185</v>
      </c>
      <c r="E102" s="98">
        <v>0</v>
      </c>
      <c r="F102" s="98">
        <v>3350</v>
      </c>
      <c r="G102" s="98">
        <v>0</v>
      </c>
      <c r="H102" s="98">
        <v>0</v>
      </c>
      <c r="I102" s="98">
        <v>0</v>
      </c>
      <c r="J102" s="98">
        <v>0</v>
      </c>
    </row>
    <row r="103" spans="1:10" x14ac:dyDescent="0.25">
      <c r="A103" s="97" t="s">
        <v>108</v>
      </c>
      <c r="B103" s="97" t="s">
        <v>501</v>
      </c>
      <c r="C103" s="97" t="s">
        <v>502</v>
      </c>
      <c r="D103" s="98">
        <v>428678</v>
      </c>
      <c r="E103" s="98">
        <v>0</v>
      </c>
      <c r="F103" s="98">
        <v>121938</v>
      </c>
      <c r="G103" s="98">
        <v>7339</v>
      </c>
      <c r="H103" s="98">
        <v>0</v>
      </c>
      <c r="I103" s="98">
        <v>0</v>
      </c>
      <c r="J103" s="98">
        <v>0</v>
      </c>
    </row>
    <row r="104" spans="1:10" x14ac:dyDescent="0.25">
      <c r="A104" s="97" t="s">
        <v>109</v>
      </c>
      <c r="B104" s="97" t="s">
        <v>503</v>
      </c>
      <c r="C104" s="97" t="s">
        <v>502</v>
      </c>
      <c r="D104" s="98">
        <v>31736</v>
      </c>
      <c r="E104" s="98">
        <v>0</v>
      </c>
      <c r="F104" s="98">
        <v>5824</v>
      </c>
      <c r="G104" s="98">
        <v>0</v>
      </c>
      <c r="H104" s="98">
        <v>0</v>
      </c>
      <c r="I104" s="98">
        <v>0</v>
      </c>
      <c r="J104" s="98">
        <v>0</v>
      </c>
    </row>
    <row r="105" spans="1:10" x14ac:dyDescent="0.25">
      <c r="A105" s="97" t="s">
        <v>110</v>
      </c>
      <c r="B105" s="97" t="s">
        <v>504</v>
      </c>
      <c r="C105" s="97" t="s">
        <v>502</v>
      </c>
      <c r="D105" s="98">
        <v>22176</v>
      </c>
      <c r="E105" s="98">
        <v>0</v>
      </c>
      <c r="F105" s="98">
        <v>7606</v>
      </c>
      <c r="G105" s="98">
        <v>0</v>
      </c>
      <c r="H105" s="98">
        <v>0</v>
      </c>
      <c r="I105" s="98">
        <v>0</v>
      </c>
      <c r="J105" s="98">
        <v>0</v>
      </c>
    </row>
    <row r="106" spans="1:10" x14ac:dyDescent="0.25">
      <c r="A106" s="97" t="s">
        <v>111</v>
      </c>
      <c r="B106" s="97" t="s">
        <v>505</v>
      </c>
      <c r="C106" s="97" t="s">
        <v>502</v>
      </c>
      <c r="D106" s="98">
        <v>2101</v>
      </c>
      <c r="E106" s="98">
        <v>0</v>
      </c>
      <c r="F106" s="98">
        <v>5221</v>
      </c>
      <c r="G106" s="98">
        <v>0</v>
      </c>
      <c r="H106" s="98">
        <v>0</v>
      </c>
      <c r="I106" s="98">
        <v>0</v>
      </c>
      <c r="J106" s="98">
        <v>0</v>
      </c>
    </row>
    <row r="107" spans="1:10" x14ac:dyDescent="0.25">
      <c r="A107" s="97" t="s">
        <v>112</v>
      </c>
      <c r="B107" s="97" t="s">
        <v>506</v>
      </c>
      <c r="C107" s="97" t="s">
        <v>507</v>
      </c>
      <c r="D107" s="98">
        <v>22779</v>
      </c>
      <c r="E107" s="98">
        <v>0</v>
      </c>
      <c r="F107" s="98">
        <v>5993</v>
      </c>
      <c r="G107" s="98">
        <v>0</v>
      </c>
      <c r="H107" s="98">
        <v>0</v>
      </c>
      <c r="I107" s="98">
        <v>0</v>
      </c>
      <c r="J107" s="98">
        <v>0</v>
      </c>
    </row>
    <row r="108" spans="1:10" x14ac:dyDescent="0.25">
      <c r="A108" s="97" t="s">
        <v>113</v>
      </c>
      <c r="B108" s="97" t="s">
        <v>291</v>
      </c>
      <c r="C108" s="97" t="s">
        <v>507</v>
      </c>
      <c r="D108" s="98">
        <v>83549</v>
      </c>
      <c r="E108" s="98">
        <v>0</v>
      </c>
      <c r="F108" s="98">
        <v>16976</v>
      </c>
      <c r="G108" s="98">
        <v>0</v>
      </c>
      <c r="H108" s="98">
        <v>0</v>
      </c>
      <c r="I108" s="98">
        <v>0</v>
      </c>
      <c r="J108" s="98">
        <v>0</v>
      </c>
    </row>
    <row r="109" spans="1:10" x14ac:dyDescent="0.25">
      <c r="A109" s="97" t="s">
        <v>114</v>
      </c>
      <c r="B109" s="97" t="s">
        <v>292</v>
      </c>
      <c r="C109" s="97" t="s">
        <v>507</v>
      </c>
      <c r="D109" s="98">
        <v>4214972</v>
      </c>
      <c r="E109" s="98">
        <v>30576</v>
      </c>
      <c r="F109" s="98">
        <v>792610</v>
      </c>
      <c r="G109" s="98">
        <v>72334</v>
      </c>
      <c r="H109" s="98">
        <v>0</v>
      </c>
      <c r="I109" s="98">
        <v>0</v>
      </c>
      <c r="J109" s="98">
        <v>0</v>
      </c>
    </row>
    <row r="110" spans="1:10" x14ac:dyDescent="0.25">
      <c r="A110" s="97" t="s">
        <v>115</v>
      </c>
      <c r="B110" s="97" t="s">
        <v>508</v>
      </c>
      <c r="C110" s="97" t="s">
        <v>509</v>
      </c>
      <c r="D110" s="98">
        <v>1387</v>
      </c>
      <c r="E110" s="98">
        <v>0</v>
      </c>
      <c r="F110" s="98">
        <v>4360</v>
      </c>
      <c r="G110" s="98">
        <v>0</v>
      </c>
      <c r="H110" s="98">
        <v>0</v>
      </c>
      <c r="I110" s="98">
        <v>0</v>
      </c>
      <c r="J110" s="98">
        <v>0</v>
      </c>
    </row>
    <row r="111" spans="1:10" x14ac:dyDescent="0.25">
      <c r="A111" s="97" t="s">
        <v>116</v>
      </c>
      <c r="B111" s="97" t="s">
        <v>510</v>
      </c>
      <c r="C111" s="97" t="s">
        <v>511</v>
      </c>
      <c r="D111" s="98">
        <v>244368</v>
      </c>
      <c r="E111" s="98">
        <v>0</v>
      </c>
      <c r="F111" s="98">
        <v>89859</v>
      </c>
      <c r="G111" s="98">
        <v>14056</v>
      </c>
      <c r="H111" s="98">
        <v>0</v>
      </c>
      <c r="I111" s="98">
        <v>0</v>
      </c>
      <c r="J111" s="98">
        <v>0</v>
      </c>
    </row>
    <row r="112" spans="1:10" x14ac:dyDescent="0.25">
      <c r="A112" s="97" t="s">
        <v>117</v>
      </c>
      <c r="B112" s="97" t="s">
        <v>512</v>
      </c>
      <c r="C112" s="97" t="s">
        <v>513</v>
      </c>
      <c r="D112" s="98">
        <v>808632</v>
      </c>
      <c r="E112" s="98">
        <v>0</v>
      </c>
      <c r="F112" s="98">
        <v>186156</v>
      </c>
      <c r="G112" s="98">
        <v>11133</v>
      </c>
      <c r="H112" s="98">
        <v>0</v>
      </c>
      <c r="I112" s="98">
        <v>0</v>
      </c>
      <c r="J112" s="98">
        <v>51111</v>
      </c>
    </row>
    <row r="113" spans="1:10" x14ac:dyDescent="0.25">
      <c r="A113" s="97" t="s">
        <v>118</v>
      </c>
      <c r="B113" s="97" t="s">
        <v>514</v>
      </c>
      <c r="C113" s="97" t="s">
        <v>513</v>
      </c>
      <c r="D113" s="98">
        <v>132124</v>
      </c>
      <c r="E113" s="98">
        <v>0</v>
      </c>
      <c r="F113" s="98">
        <v>24320</v>
      </c>
      <c r="G113" s="98">
        <v>0</v>
      </c>
      <c r="H113" s="98">
        <v>0</v>
      </c>
      <c r="I113" s="98">
        <v>0</v>
      </c>
      <c r="J113" s="98">
        <v>13951</v>
      </c>
    </row>
    <row r="114" spans="1:10" x14ac:dyDescent="0.25">
      <c r="A114" s="97" t="s">
        <v>119</v>
      </c>
      <c r="B114" s="97" t="s">
        <v>515</v>
      </c>
      <c r="C114" s="97" t="s">
        <v>513</v>
      </c>
      <c r="D114" s="98">
        <v>94676</v>
      </c>
      <c r="E114" s="98">
        <v>0</v>
      </c>
      <c r="F114" s="98">
        <v>22083</v>
      </c>
      <c r="G114" s="98">
        <v>0</v>
      </c>
      <c r="H114" s="98">
        <v>345</v>
      </c>
      <c r="I114" s="98">
        <v>1886</v>
      </c>
      <c r="J114" s="98">
        <v>0</v>
      </c>
    </row>
    <row r="115" spans="1:10" x14ac:dyDescent="0.25">
      <c r="A115" s="97" t="s">
        <v>120</v>
      </c>
      <c r="B115" s="97" t="s">
        <v>516</v>
      </c>
      <c r="C115" s="97" t="s">
        <v>517</v>
      </c>
      <c r="D115" s="98">
        <v>1266562</v>
      </c>
      <c r="E115" s="98">
        <v>0</v>
      </c>
      <c r="F115" s="98">
        <v>226556</v>
      </c>
      <c r="G115" s="98">
        <v>61885</v>
      </c>
      <c r="H115" s="98">
        <v>0</v>
      </c>
      <c r="I115" s="98">
        <v>0</v>
      </c>
      <c r="J115" s="98">
        <v>110906</v>
      </c>
    </row>
    <row r="116" spans="1:10" x14ac:dyDescent="0.25">
      <c r="A116" s="97" t="s">
        <v>121</v>
      </c>
      <c r="B116" s="97" t="s">
        <v>518</v>
      </c>
      <c r="C116" s="97" t="s">
        <v>517</v>
      </c>
      <c r="D116" s="98">
        <v>67345</v>
      </c>
      <c r="E116" s="98">
        <v>0</v>
      </c>
      <c r="F116" s="98">
        <v>18077</v>
      </c>
      <c r="G116" s="98">
        <v>435</v>
      </c>
      <c r="H116" s="98">
        <v>0</v>
      </c>
      <c r="I116" s="98">
        <v>0</v>
      </c>
      <c r="J116" s="98">
        <v>0</v>
      </c>
    </row>
    <row r="117" spans="1:10" x14ac:dyDescent="0.25">
      <c r="A117" s="97" t="s">
        <v>122</v>
      </c>
      <c r="B117" s="97" t="s">
        <v>519</v>
      </c>
      <c r="C117" s="97" t="s">
        <v>520</v>
      </c>
      <c r="D117" s="98">
        <v>206970</v>
      </c>
      <c r="E117" s="98">
        <v>0</v>
      </c>
      <c r="F117" s="98">
        <v>55409</v>
      </c>
      <c r="G117" s="98">
        <v>13496</v>
      </c>
      <c r="H117" s="98">
        <v>0</v>
      </c>
      <c r="I117" s="98">
        <v>0</v>
      </c>
      <c r="J117" s="98">
        <v>0</v>
      </c>
    </row>
    <row r="118" spans="1:10" x14ac:dyDescent="0.25">
      <c r="A118" s="97" t="s">
        <v>123</v>
      </c>
      <c r="B118" s="97" t="s">
        <v>521</v>
      </c>
      <c r="C118" s="97" t="s">
        <v>520</v>
      </c>
      <c r="D118" s="98">
        <v>589685</v>
      </c>
      <c r="E118" s="98">
        <v>0</v>
      </c>
      <c r="F118" s="98">
        <v>144585</v>
      </c>
      <c r="G118" s="98">
        <v>57718</v>
      </c>
      <c r="H118" s="98">
        <v>2590</v>
      </c>
      <c r="I118" s="98">
        <v>14146</v>
      </c>
      <c r="J118" s="98">
        <v>56667</v>
      </c>
    </row>
    <row r="119" spans="1:10" x14ac:dyDescent="0.25">
      <c r="A119" s="97" t="s">
        <v>124</v>
      </c>
      <c r="B119" s="97" t="s">
        <v>522</v>
      </c>
      <c r="C119" s="97" t="s">
        <v>520</v>
      </c>
      <c r="D119" s="98">
        <v>10363</v>
      </c>
      <c r="E119" s="98">
        <v>0</v>
      </c>
      <c r="F119" s="98">
        <v>6938</v>
      </c>
      <c r="G119" s="98">
        <v>124</v>
      </c>
      <c r="H119" s="98">
        <v>0</v>
      </c>
      <c r="I119" s="98">
        <v>0</v>
      </c>
      <c r="J119" s="98">
        <v>0</v>
      </c>
    </row>
    <row r="120" spans="1:10" x14ac:dyDescent="0.25">
      <c r="A120" s="97" t="s">
        <v>125</v>
      </c>
      <c r="B120" s="97" t="s">
        <v>523</v>
      </c>
      <c r="C120" s="97" t="s">
        <v>520</v>
      </c>
      <c r="D120" s="98">
        <v>84209</v>
      </c>
      <c r="E120" s="98">
        <v>0</v>
      </c>
      <c r="F120" s="98">
        <v>14226</v>
      </c>
      <c r="G120" s="98">
        <v>5909</v>
      </c>
      <c r="H120" s="98">
        <v>0</v>
      </c>
      <c r="I120" s="98">
        <v>0</v>
      </c>
      <c r="J120" s="98">
        <v>0</v>
      </c>
    </row>
    <row r="121" spans="1:10" x14ac:dyDescent="0.25">
      <c r="A121" s="97" t="s">
        <v>126</v>
      </c>
      <c r="B121" s="97" t="s">
        <v>304</v>
      </c>
      <c r="C121" s="97" t="s">
        <v>524</v>
      </c>
      <c r="D121" s="98">
        <v>730774</v>
      </c>
      <c r="E121" s="98">
        <v>0</v>
      </c>
      <c r="F121" s="98">
        <v>102095</v>
      </c>
      <c r="G121" s="98">
        <v>1306</v>
      </c>
      <c r="H121" s="98">
        <v>0</v>
      </c>
      <c r="I121" s="98">
        <v>0</v>
      </c>
      <c r="J121" s="98">
        <v>24979</v>
      </c>
    </row>
    <row r="122" spans="1:10" x14ac:dyDescent="0.25">
      <c r="A122" s="97" t="s">
        <v>127</v>
      </c>
      <c r="B122" s="97" t="s">
        <v>305</v>
      </c>
      <c r="C122" s="97" t="s">
        <v>524</v>
      </c>
      <c r="D122" s="98">
        <v>512908</v>
      </c>
      <c r="E122" s="98">
        <v>0</v>
      </c>
      <c r="F122" s="98">
        <v>101553</v>
      </c>
      <c r="G122" s="98">
        <v>3359</v>
      </c>
      <c r="H122" s="98">
        <v>0</v>
      </c>
      <c r="I122" s="98">
        <v>0</v>
      </c>
      <c r="J122" s="98">
        <v>14856</v>
      </c>
    </row>
    <row r="123" spans="1:10" x14ac:dyDescent="0.25">
      <c r="A123" s="97" t="s">
        <v>128</v>
      </c>
      <c r="B123" s="97" t="s">
        <v>306</v>
      </c>
      <c r="C123" s="97" t="s">
        <v>524</v>
      </c>
      <c r="D123" s="98">
        <v>111959</v>
      </c>
      <c r="E123" s="98">
        <v>0</v>
      </c>
      <c r="F123" s="98">
        <v>14652</v>
      </c>
      <c r="G123" s="98">
        <v>1866</v>
      </c>
      <c r="H123" s="98">
        <v>0</v>
      </c>
      <c r="I123" s="98">
        <v>0</v>
      </c>
      <c r="J123" s="98">
        <v>0</v>
      </c>
    </row>
    <row r="124" spans="1:10" x14ac:dyDescent="0.25">
      <c r="A124" s="97" t="s">
        <v>129</v>
      </c>
      <c r="B124" s="97" t="s">
        <v>307</v>
      </c>
      <c r="C124" s="97" t="s">
        <v>524</v>
      </c>
      <c r="D124" s="98">
        <v>91106</v>
      </c>
      <c r="E124" s="98">
        <v>0</v>
      </c>
      <c r="F124" s="98">
        <v>21195</v>
      </c>
      <c r="G124" s="98">
        <v>124</v>
      </c>
      <c r="H124" s="98">
        <v>0</v>
      </c>
      <c r="I124" s="98">
        <v>0</v>
      </c>
      <c r="J124" s="98">
        <v>0</v>
      </c>
    </row>
    <row r="125" spans="1:10" x14ac:dyDescent="0.25">
      <c r="A125" s="97" t="s">
        <v>130</v>
      </c>
      <c r="B125" s="97" t="s">
        <v>308</v>
      </c>
      <c r="C125" s="97" t="s">
        <v>524</v>
      </c>
      <c r="D125" s="98">
        <v>34743</v>
      </c>
      <c r="E125" s="98">
        <v>0</v>
      </c>
      <c r="F125" s="98">
        <v>9657</v>
      </c>
      <c r="G125" s="98">
        <v>0</v>
      </c>
      <c r="H125" s="98">
        <v>0</v>
      </c>
      <c r="I125" s="98">
        <v>0</v>
      </c>
      <c r="J125" s="98">
        <v>0</v>
      </c>
    </row>
    <row r="126" spans="1:10" x14ac:dyDescent="0.25">
      <c r="A126" s="97" t="s">
        <v>131</v>
      </c>
      <c r="B126" s="97" t="s">
        <v>309</v>
      </c>
      <c r="C126" s="97" t="s">
        <v>524</v>
      </c>
      <c r="D126" s="98">
        <v>55059</v>
      </c>
      <c r="E126" s="98">
        <v>0</v>
      </c>
      <c r="F126" s="98">
        <v>10669</v>
      </c>
      <c r="G126" s="98">
        <v>0</v>
      </c>
      <c r="H126" s="98">
        <v>0</v>
      </c>
      <c r="I126" s="98">
        <v>0</v>
      </c>
      <c r="J126" s="98">
        <v>0</v>
      </c>
    </row>
    <row r="127" spans="1:10" x14ac:dyDescent="0.25">
      <c r="A127" s="97" t="s">
        <v>132</v>
      </c>
      <c r="B127" s="97" t="s">
        <v>310</v>
      </c>
      <c r="C127" s="97" t="s">
        <v>525</v>
      </c>
      <c r="D127" s="98">
        <v>24732</v>
      </c>
      <c r="E127" s="98">
        <v>0</v>
      </c>
      <c r="F127" s="98">
        <v>6036</v>
      </c>
      <c r="G127" s="98">
        <v>0</v>
      </c>
      <c r="H127" s="98">
        <v>0</v>
      </c>
      <c r="I127" s="98">
        <v>0</v>
      </c>
      <c r="J127" s="98">
        <v>0</v>
      </c>
    </row>
    <row r="128" spans="1:10" x14ac:dyDescent="0.25">
      <c r="A128" s="97" t="s">
        <v>133</v>
      </c>
      <c r="B128" s="97" t="s">
        <v>311</v>
      </c>
      <c r="C128" s="97" t="s">
        <v>525</v>
      </c>
      <c r="D128" s="98">
        <v>47202</v>
      </c>
      <c r="E128" s="98">
        <v>0</v>
      </c>
      <c r="F128" s="98">
        <v>8393</v>
      </c>
      <c r="G128" s="98">
        <v>809</v>
      </c>
      <c r="H128" s="98">
        <v>0</v>
      </c>
      <c r="I128" s="98">
        <v>0</v>
      </c>
      <c r="J128" s="98">
        <v>0</v>
      </c>
    </row>
    <row r="129" spans="1:10" x14ac:dyDescent="0.25">
      <c r="A129" s="97" t="s">
        <v>134</v>
      </c>
      <c r="B129" s="97" t="s">
        <v>312</v>
      </c>
      <c r="C129" s="97" t="s">
        <v>526</v>
      </c>
      <c r="D129" s="98">
        <v>141807</v>
      </c>
      <c r="E129" s="98">
        <v>0</v>
      </c>
      <c r="F129" s="98">
        <v>44888</v>
      </c>
      <c r="G129" s="98">
        <v>0</v>
      </c>
      <c r="H129" s="98">
        <v>0</v>
      </c>
      <c r="I129" s="98">
        <v>0</v>
      </c>
      <c r="J129" s="98">
        <v>0</v>
      </c>
    </row>
    <row r="130" spans="1:10" x14ac:dyDescent="0.25">
      <c r="A130" s="97" t="s">
        <v>135</v>
      </c>
      <c r="B130" s="97" t="s">
        <v>527</v>
      </c>
      <c r="C130" s="97" t="s">
        <v>526</v>
      </c>
      <c r="D130" s="98">
        <v>122000</v>
      </c>
      <c r="E130" s="98">
        <v>0</v>
      </c>
      <c r="F130" s="98">
        <v>17546</v>
      </c>
      <c r="G130" s="98">
        <v>0</v>
      </c>
      <c r="H130" s="98">
        <v>0</v>
      </c>
      <c r="I130" s="98">
        <v>0</v>
      </c>
      <c r="J130" s="98">
        <v>0</v>
      </c>
    </row>
    <row r="131" spans="1:10" x14ac:dyDescent="0.25">
      <c r="A131" s="97" t="s">
        <v>136</v>
      </c>
      <c r="B131" s="97" t="s">
        <v>528</v>
      </c>
      <c r="C131" s="97" t="s">
        <v>529</v>
      </c>
      <c r="D131" s="98">
        <v>89100</v>
      </c>
      <c r="E131" s="98">
        <v>0</v>
      </c>
      <c r="F131" s="98">
        <v>19811</v>
      </c>
      <c r="G131" s="98">
        <v>8956</v>
      </c>
      <c r="H131" s="98">
        <v>0</v>
      </c>
      <c r="I131" s="98">
        <v>0</v>
      </c>
      <c r="J131" s="98">
        <v>0</v>
      </c>
    </row>
    <row r="132" spans="1:10" x14ac:dyDescent="0.25">
      <c r="A132" s="97" t="s">
        <v>137</v>
      </c>
      <c r="B132" s="97" t="s">
        <v>530</v>
      </c>
      <c r="C132" s="97" t="s">
        <v>529</v>
      </c>
      <c r="D132" s="98">
        <v>29771</v>
      </c>
      <c r="E132" s="98">
        <v>0</v>
      </c>
      <c r="F132" s="98">
        <v>8958</v>
      </c>
      <c r="G132" s="98">
        <v>0</v>
      </c>
      <c r="H132" s="98">
        <v>0</v>
      </c>
      <c r="I132" s="98">
        <v>0</v>
      </c>
      <c r="J132" s="98">
        <v>0</v>
      </c>
    </row>
    <row r="133" spans="1:10" x14ac:dyDescent="0.25">
      <c r="A133" s="97" t="s">
        <v>138</v>
      </c>
      <c r="B133" s="97" t="s">
        <v>316</v>
      </c>
      <c r="C133" s="97" t="s">
        <v>531</v>
      </c>
      <c r="D133" s="98">
        <v>83319</v>
      </c>
      <c r="E133" s="98">
        <v>0</v>
      </c>
      <c r="F133" s="98">
        <v>25140</v>
      </c>
      <c r="G133" s="98">
        <v>11195</v>
      </c>
      <c r="H133" s="98">
        <v>0</v>
      </c>
      <c r="I133" s="98">
        <v>0</v>
      </c>
      <c r="J133" s="98">
        <v>0</v>
      </c>
    </row>
    <row r="134" spans="1:10" x14ac:dyDescent="0.25">
      <c r="A134" s="97" t="s">
        <v>139</v>
      </c>
      <c r="B134" s="97" t="s">
        <v>532</v>
      </c>
      <c r="C134" s="97" t="s">
        <v>533</v>
      </c>
      <c r="D134" s="98">
        <v>62658</v>
      </c>
      <c r="E134" s="98">
        <v>0</v>
      </c>
      <c r="F134" s="98">
        <v>14517</v>
      </c>
      <c r="G134" s="98">
        <v>1555</v>
      </c>
      <c r="H134" s="98">
        <v>0</v>
      </c>
      <c r="I134" s="98">
        <v>0</v>
      </c>
      <c r="J134" s="98">
        <v>0</v>
      </c>
    </row>
    <row r="135" spans="1:10" x14ac:dyDescent="0.25">
      <c r="A135" s="97" t="s">
        <v>140</v>
      </c>
      <c r="B135" s="97" t="s">
        <v>534</v>
      </c>
      <c r="C135" s="97" t="s">
        <v>533</v>
      </c>
      <c r="D135" s="98">
        <v>468449</v>
      </c>
      <c r="E135" s="98">
        <v>0</v>
      </c>
      <c r="F135" s="98">
        <v>120050</v>
      </c>
      <c r="G135" s="98">
        <v>7339</v>
      </c>
      <c r="H135" s="98">
        <v>0</v>
      </c>
      <c r="I135" s="98">
        <v>0</v>
      </c>
      <c r="J135" s="98">
        <v>0</v>
      </c>
    </row>
    <row r="136" spans="1:10" x14ac:dyDescent="0.25">
      <c r="A136" s="97" t="s">
        <v>141</v>
      </c>
      <c r="B136" s="97" t="s">
        <v>535</v>
      </c>
      <c r="C136" s="97" t="s">
        <v>533</v>
      </c>
      <c r="D136" s="98">
        <v>100173</v>
      </c>
      <c r="E136" s="98">
        <v>0</v>
      </c>
      <c r="F136" s="98">
        <v>14889</v>
      </c>
      <c r="G136" s="98">
        <v>4602</v>
      </c>
      <c r="H136" s="98">
        <v>0</v>
      </c>
      <c r="I136" s="98">
        <v>0</v>
      </c>
      <c r="J136" s="98">
        <v>0</v>
      </c>
    </row>
    <row r="137" spans="1:10" x14ac:dyDescent="0.25">
      <c r="A137" s="97" t="s">
        <v>142</v>
      </c>
      <c r="B137" s="97" t="s">
        <v>536</v>
      </c>
      <c r="C137" s="97" t="s">
        <v>533</v>
      </c>
      <c r="D137" s="98">
        <v>38363</v>
      </c>
      <c r="E137" s="98">
        <v>0</v>
      </c>
      <c r="F137" s="98">
        <v>13277</v>
      </c>
      <c r="G137" s="98">
        <v>684</v>
      </c>
      <c r="H137" s="98">
        <v>0</v>
      </c>
      <c r="I137" s="98">
        <v>0</v>
      </c>
      <c r="J137" s="98">
        <v>0</v>
      </c>
    </row>
    <row r="138" spans="1:10" x14ac:dyDescent="0.25">
      <c r="A138" s="97" t="s">
        <v>143</v>
      </c>
      <c r="B138" s="97" t="s">
        <v>321</v>
      </c>
      <c r="C138" s="97" t="s">
        <v>537</v>
      </c>
      <c r="D138" s="98">
        <v>5791514</v>
      </c>
      <c r="E138" s="98">
        <v>71849</v>
      </c>
      <c r="F138" s="98">
        <v>1116143</v>
      </c>
      <c r="G138" s="98">
        <v>67171</v>
      </c>
      <c r="H138" s="98">
        <v>0</v>
      </c>
      <c r="I138" s="98">
        <v>0</v>
      </c>
      <c r="J138" s="98">
        <v>0</v>
      </c>
    </row>
    <row r="139" spans="1:10" x14ac:dyDescent="0.25">
      <c r="A139" s="97" t="s">
        <v>144</v>
      </c>
      <c r="B139" s="97" t="s">
        <v>538</v>
      </c>
      <c r="C139" s="97" t="s">
        <v>537</v>
      </c>
      <c r="D139" s="98">
        <v>1108748</v>
      </c>
      <c r="E139" s="98">
        <v>0</v>
      </c>
      <c r="F139" s="98">
        <v>185937</v>
      </c>
      <c r="G139" s="98">
        <v>18410</v>
      </c>
      <c r="H139" s="98">
        <v>0</v>
      </c>
      <c r="I139" s="98">
        <v>0</v>
      </c>
      <c r="J139" s="98">
        <v>0</v>
      </c>
    </row>
    <row r="140" spans="1:10" x14ac:dyDescent="0.25">
      <c r="A140" s="97" t="s">
        <v>145</v>
      </c>
      <c r="B140" s="97" t="s">
        <v>539</v>
      </c>
      <c r="C140" s="97" t="s">
        <v>540</v>
      </c>
      <c r="D140" s="98">
        <v>46838</v>
      </c>
      <c r="E140" s="98">
        <v>0</v>
      </c>
      <c r="F140" s="98">
        <v>25082</v>
      </c>
      <c r="G140" s="98">
        <v>3545</v>
      </c>
      <c r="H140" s="98">
        <v>0</v>
      </c>
      <c r="I140" s="98">
        <v>0</v>
      </c>
      <c r="J140" s="98">
        <v>0</v>
      </c>
    </row>
    <row r="141" spans="1:10" x14ac:dyDescent="0.25">
      <c r="A141" s="97" t="s">
        <v>146</v>
      </c>
      <c r="B141" s="97" t="s">
        <v>541</v>
      </c>
      <c r="C141" s="97" t="s">
        <v>540</v>
      </c>
      <c r="D141" s="98">
        <v>65600</v>
      </c>
      <c r="E141" s="98">
        <v>0</v>
      </c>
      <c r="F141" s="98">
        <v>13091</v>
      </c>
      <c r="G141" s="98">
        <v>0</v>
      </c>
      <c r="H141" s="98">
        <v>0</v>
      </c>
      <c r="I141" s="98">
        <v>0</v>
      </c>
      <c r="J141" s="98">
        <v>0</v>
      </c>
    </row>
    <row r="142" spans="1:10" x14ac:dyDescent="0.25">
      <c r="A142" s="97" t="s">
        <v>147</v>
      </c>
      <c r="B142" s="97" t="s">
        <v>325</v>
      </c>
      <c r="C142" s="97" t="s">
        <v>542</v>
      </c>
      <c r="D142" s="98">
        <v>272226</v>
      </c>
      <c r="E142" s="98">
        <v>0</v>
      </c>
      <c r="F142" s="98">
        <v>39614</v>
      </c>
      <c r="G142" s="98">
        <v>1679</v>
      </c>
      <c r="H142" s="98">
        <v>0</v>
      </c>
      <c r="I142" s="98">
        <v>0</v>
      </c>
      <c r="J142" s="98">
        <v>0</v>
      </c>
    </row>
    <row r="143" spans="1:10" x14ac:dyDescent="0.25">
      <c r="A143" s="97" t="s">
        <v>148</v>
      </c>
      <c r="B143" s="97" t="s">
        <v>326</v>
      </c>
      <c r="C143" s="97" t="s">
        <v>542</v>
      </c>
      <c r="D143" s="98">
        <v>276082</v>
      </c>
      <c r="E143" s="98">
        <v>0</v>
      </c>
      <c r="F143" s="98">
        <v>92590</v>
      </c>
      <c r="G143" s="98">
        <v>8085</v>
      </c>
      <c r="H143" s="98">
        <v>0</v>
      </c>
      <c r="I143" s="98">
        <v>0</v>
      </c>
      <c r="J143" s="98">
        <v>20412</v>
      </c>
    </row>
    <row r="144" spans="1:10" x14ac:dyDescent="0.25">
      <c r="A144" s="97" t="s">
        <v>149</v>
      </c>
      <c r="B144" s="97" t="s">
        <v>543</v>
      </c>
      <c r="C144" s="97" t="s">
        <v>542</v>
      </c>
      <c r="D144" s="98">
        <v>64744</v>
      </c>
      <c r="E144" s="98">
        <v>0</v>
      </c>
      <c r="F144" s="98">
        <v>14364</v>
      </c>
      <c r="G144" s="98">
        <v>1493</v>
      </c>
      <c r="H144" s="98">
        <v>0</v>
      </c>
      <c r="I144" s="98">
        <v>0</v>
      </c>
      <c r="J144" s="98">
        <v>0</v>
      </c>
    </row>
    <row r="145" spans="1:10" x14ac:dyDescent="0.25">
      <c r="A145" s="97" t="s">
        <v>150</v>
      </c>
      <c r="B145" s="97" t="s">
        <v>544</v>
      </c>
      <c r="C145" s="97" t="s">
        <v>545</v>
      </c>
      <c r="D145" s="98">
        <v>71699</v>
      </c>
      <c r="E145" s="98">
        <v>0</v>
      </c>
      <c r="F145" s="98">
        <v>10517</v>
      </c>
      <c r="G145" s="98">
        <v>1120</v>
      </c>
      <c r="H145" s="98">
        <v>0</v>
      </c>
      <c r="I145" s="98">
        <v>0</v>
      </c>
      <c r="J145" s="98">
        <v>0</v>
      </c>
    </row>
    <row r="146" spans="1:10" x14ac:dyDescent="0.25">
      <c r="A146" s="97" t="s">
        <v>151</v>
      </c>
      <c r="B146" s="97" t="s">
        <v>546</v>
      </c>
      <c r="C146" s="97" t="s">
        <v>545</v>
      </c>
      <c r="D146" s="98">
        <v>140793</v>
      </c>
      <c r="E146" s="98">
        <v>0</v>
      </c>
      <c r="F146" s="98">
        <v>48941</v>
      </c>
      <c r="G146" s="98">
        <v>13310</v>
      </c>
      <c r="H146" s="98">
        <v>259</v>
      </c>
      <c r="I146" s="98">
        <v>1415</v>
      </c>
      <c r="J146" s="98">
        <v>0</v>
      </c>
    </row>
    <row r="147" spans="1:10" x14ac:dyDescent="0.25">
      <c r="A147" s="97" t="s">
        <v>152</v>
      </c>
      <c r="B147" s="97" t="s">
        <v>547</v>
      </c>
      <c r="C147" s="97" t="s">
        <v>545</v>
      </c>
      <c r="D147" s="98">
        <v>70955</v>
      </c>
      <c r="E147" s="98">
        <v>0</v>
      </c>
      <c r="F147" s="98">
        <v>11432</v>
      </c>
      <c r="G147" s="98">
        <v>933</v>
      </c>
      <c r="H147" s="98">
        <v>0</v>
      </c>
      <c r="I147" s="98">
        <v>0</v>
      </c>
      <c r="J147" s="98">
        <v>0</v>
      </c>
    </row>
    <row r="148" spans="1:10" x14ac:dyDescent="0.25">
      <c r="A148" s="97" t="s">
        <v>153</v>
      </c>
      <c r="B148" s="97" t="s">
        <v>548</v>
      </c>
      <c r="C148" s="97" t="s">
        <v>549</v>
      </c>
      <c r="D148" s="98">
        <v>90012</v>
      </c>
      <c r="E148" s="98">
        <v>0</v>
      </c>
      <c r="F148" s="98">
        <v>19417</v>
      </c>
      <c r="G148" s="98">
        <v>0</v>
      </c>
      <c r="H148" s="98">
        <v>0</v>
      </c>
      <c r="I148" s="98">
        <v>0</v>
      </c>
      <c r="J148" s="98">
        <v>0</v>
      </c>
    </row>
    <row r="149" spans="1:10" x14ac:dyDescent="0.25">
      <c r="A149" s="97" t="s">
        <v>154</v>
      </c>
      <c r="B149" s="97" t="s">
        <v>332</v>
      </c>
      <c r="C149" s="97" t="s">
        <v>549</v>
      </c>
      <c r="D149" s="98">
        <v>112185</v>
      </c>
      <c r="E149" s="98">
        <v>0</v>
      </c>
      <c r="F149" s="98">
        <v>10175</v>
      </c>
      <c r="G149" s="98">
        <v>0</v>
      </c>
      <c r="H149" s="96">
        <v>0</v>
      </c>
      <c r="I149" s="96">
        <v>0</v>
      </c>
      <c r="J149" s="98">
        <v>0</v>
      </c>
    </row>
    <row r="150" spans="1:10" x14ac:dyDescent="0.25">
      <c r="A150" s="97" t="s">
        <v>155</v>
      </c>
      <c r="B150" s="97" t="s">
        <v>550</v>
      </c>
      <c r="C150" s="97" t="s">
        <v>549</v>
      </c>
      <c r="D150" s="98">
        <v>455651</v>
      </c>
      <c r="E150" s="98">
        <v>0</v>
      </c>
      <c r="F150" s="98">
        <v>60228</v>
      </c>
      <c r="G150" s="98">
        <v>15425</v>
      </c>
      <c r="H150" s="98">
        <v>432</v>
      </c>
      <c r="I150" s="98">
        <v>2358</v>
      </c>
      <c r="J150" s="98">
        <v>0</v>
      </c>
    </row>
    <row r="151" spans="1:10" x14ac:dyDescent="0.25">
      <c r="A151" s="97" t="s">
        <v>156</v>
      </c>
      <c r="B151" s="97" t="s">
        <v>334</v>
      </c>
      <c r="C151" s="97" t="s">
        <v>551</v>
      </c>
      <c r="D151" s="98">
        <v>18106</v>
      </c>
      <c r="E151" s="98">
        <v>0</v>
      </c>
      <c r="F151" s="98">
        <v>6213</v>
      </c>
      <c r="G151" s="98">
        <v>0</v>
      </c>
      <c r="H151" s="98">
        <v>0</v>
      </c>
      <c r="I151" s="98">
        <v>0</v>
      </c>
      <c r="J151" s="98">
        <v>0</v>
      </c>
    </row>
    <row r="152" spans="1:10" x14ac:dyDescent="0.25">
      <c r="A152" s="97" t="s">
        <v>157</v>
      </c>
      <c r="B152" s="97" t="s">
        <v>335</v>
      </c>
      <c r="C152" s="97" t="s">
        <v>552</v>
      </c>
      <c r="D152" s="98">
        <v>74791</v>
      </c>
      <c r="E152" s="98">
        <v>0</v>
      </c>
      <c r="F152" s="98">
        <v>18786</v>
      </c>
      <c r="G152" s="98">
        <v>5846</v>
      </c>
      <c r="H152" s="98">
        <v>863</v>
      </c>
      <c r="I152" s="98">
        <v>4715</v>
      </c>
      <c r="J152" s="98">
        <v>0</v>
      </c>
    </row>
    <row r="153" spans="1:10" x14ac:dyDescent="0.25">
      <c r="A153" s="97" t="s">
        <v>158</v>
      </c>
      <c r="B153" s="97" t="s">
        <v>336</v>
      </c>
      <c r="C153" s="97" t="s">
        <v>552</v>
      </c>
      <c r="D153" s="98">
        <v>79601</v>
      </c>
      <c r="E153" s="98">
        <v>0</v>
      </c>
      <c r="F153" s="98">
        <v>9879</v>
      </c>
      <c r="G153" s="98">
        <v>1057</v>
      </c>
      <c r="H153" s="98">
        <v>0</v>
      </c>
      <c r="I153" s="98">
        <v>0</v>
      </c>
      <c r="J153" s="98">
        <v>0</v>
      </c>
    </row>
    <row r="154" spans="1:10" x14ac:dyDescent="0.25">
      <c r="A154" s="97" t="s">
        <v>159</v>
      </c>
      <c r="B154" s="97" t="s">
        <v>553</v>
      </c>
      <c r="C154" s="97" t="s">
        <v>554</v>
      </c>
      <c r="D154" s="98">
        <v>38482</v>
      </c>
      <c r="E154" s="98">
        <v>0</v>
      </c>
      <c r="F154" s="98">
        <v>10894</v>
      </c>
      <c r="G154" s="98">
        <v>1306</v>
      </c>
      <c r="H154" s="98">
        <v>0</v>
      </c>
      <c r="I154" s="98">
        <v>0</v>
      </c>
      <c r="J154" s="98">
        <v>0</v>
      </c>
    </row>
    <row r="155" spans="1:10" x14ac:dyDescent="0.25">
      <c r="A155" s="97" t="s">
        <v>160</v>
      </c>
      <c r="B155" s="97" t="s">
        <v>555</v>
      </c>
      <c r="C155" s="97" t="s">
        <v>554</v>
      </c>
      <c r="D155" s="98">
        <v>26254</v>
      </c>
      <c r="E155" s="98">
        <v>0</v>
      </c>
      <c r="F155" s="98">
        <v>8018</v>
      </c>
      <c r="G155" s="98">
        <v>0</v>
      </c>
      <c r="H155" s="98">
        <v>0</v>
      </c>
      <c r="I155" s="98">
        <v>0</v>
      </c>
      <c r="J155" s="98">
        <v>0</v>
      </c>
    </row>
    <row r="156" spans="1:10" x14ac:dyDescent="0.25">
      <c r="A156" s="97" t="s">
        <v>161</v>
      </c>
      <c r="B156" s="97" t="s">
        <v>556</v>
      </c>
      <c r="C156" s="97" t="s">
        <v>557</v>
      </c>
      <c r="D156" s="98">
        <v>256233</v>
      </c>
      <c r="E156" s="98">
        <v>0</v>
      </c>
      <c r="F156" s="98">
        <v>55814</v>
      </c>
      <c r="G156" s="98">
        <v>54048</v>
      </c>
      <c r="H156" s="98">
        <v>777</v>
      </c>
      <c r="I156" s="98">
        <v>4244</v>
      </c>
      <c r="J156" s="98">
        <v>0</v>
      </c>
    </row>
    <row r="157" spans="1:10" x14ac:dyDescent="0.25">
      <c r="A157" s="97" t="s">
        <v>162</v>
      </c>
      <c r="B157" s="97" t="s">
        <v>558</v>
      </c>
      <c r="C157" s="97" t="s">
        <v>559</v>
      </c>
      <c r="D157" s="98">
        <v>61191</v>
      </c>
      <c r="E157" s="98">
        <v>0</v>
      </c>
      <c r="F157" s="98">
        <v>15903</v>
      </c>
      <c r="G157" s="98">
        <v>435</v>
      </c>
      <c r="H157" s="98">
        <v>0</v>
      </c>
      <c r="I157" s="98">
        <v>0</v>
      </c>
      <c r="J157" s="98">
        <v>0</v>
      </c>
    </row>
    <row r="158" spans="1:10" x14ac:dyDescent="0.25">
      <c r="A158" s="97" t="s">
        <v>163</v>
      </c>
      <c r="B158" s="97" t="s">
        <v>560</v>
      </c>
      <c r="C158" s="97" t="s">
        <v>559</v>
      </c>
      <c r="D158" s="98">
        <v>282298</v>
      </c>
      <c r="E158" s="98">
        <v>0</v>
      </c>
      <c r="F158" s="98">
        <v>100826</v>
      </c>
      <c r="G158" s="98">
        <v>3048</v>
      </c>
      <c r="H158" s="98">
        <v>0</v>
      </c>
      <c r="I158" s="98">
        <v>0</v>
      </c>
      <c r="J158" s="98">
        <v>0</v>
      </c>
    </row>
    <row r="159" spans="1:10" x14ac:dyDescent="0.25">
      <c r="A159" s="97" t="s">
        <v>164</v>
      </c>
      <c r="B159" s="97" t="s">
        <v>341</v>
      </c>
      <c r="C159" s="97" t="s">
        <v>561</v>
      </c>
      <c r="D159" s="98">
        <v>54935</v>
      </c>
      <c r="E159" s="98">
        <v>0</v>
      </c>
      <c r="F159" s="98">
        <v>17950</v>
      </c>
      <c r="G159" s="98">
        <v>0</v>
      </c>
      <c r="H159" s="98">
        <v>0</v>
      </c>
      <c r="I159" s="98">
        <v>0</v>
      </c>
      <c r="J159" s="98">
        <v>0</v>
      </c>
    </row>
    <row r="160" spans="1:10" x14ac:dyDescent="0.25">
      <c r="A160" s="97" t="s">
        <v>165</v>
      </c>
      <c r="B160" s="97" t="s">
        <v>342</v>
      </c>
      <c r="C160" s="97" t="s">
        <v>561</v>
      </c>
      <c r="D160" s="98">
        <v>13895</v>
      </c>
      <c r="E160" s="98">
        <v>0</v>
      </c>
      <c r="F160" s="98">
        <v>3863</v>
      </c>
      <c r="G160" s="98">
        <v>1804</v>
      </c>
      <c r="H160" s="98">
        <v>0</v>
      </c>
      <c r="I160" s="98">
        <v>0</v>
      </c>
      <c r="J160" s="98">
        <v>0</v>
      </c>
    </row>
    <row r="161" spans="1:10" x14ac:dyDescent="0.25">
      <c r="A161" s="97" t="s">
        <v>166</v>
      </c>
      <c r="B161" s="97" t="s">
        <v>343</v>
      </c>
      <c r="C161" s="97" t="s">
        <v>561</v>
      </c>
      <c r="D161" s="98">
        <v>16736</v>
      </c>
      <c r="E161" s="98">
        <v>0</v>
      </c>
      <c r="F161" s="98">
        <v>4787</v>
      </c>
      <c r="G161" s="98">
        <v>0</v>
      </c>
      <c r="H161" s="98">
        <v>0</v>
      </c>
      <c r="I161" s="98">
        <v>0</v>
      </c>
      <c r="J161" s="98">
        <v>0</v>
      </c>
    </row>
    <row r="162" spans="1:10" x14ac:dyDescent="0.25">
      <c r="A162" s="97" t="s">
        <v>167</v>
      </c>
      <c r="B162" s="97" t="s">
        <v>344</v>
      </c>
      <c r="C162" s="97" t="s">
        <v>561</v>
      </c>
      <c r="D162" s="98">
        <v>1003</v>
      </c>
      <c r="E162" s="98">
        <v>0</v>
      </c>
      <c r="F162" s="98">
        <v>2385</v>
      </c>
      <c r="G162" s="98">
        <v>0</v>
      </c>
      <c r="H162" s="98">
        <v>0</v>
      </c>
      <c r="I162" s="98">
        <v>0</v>
      </c>
      <c r="J162" s="98">
        <v>0</v>
      </c>
    </row>
    <row r="163" spans="1:10" x14ac:dyDescent="0.25">
      <c r="A163" s="97" t="s">
        <v>168</v>
      </c>
      <c r="B163" s="97" t="s">
        <v>345</v>
      </c>
      <c r="C163" s="97" t="s">
        <v>561</v>
      </c>
      <c r="D163" s="98">
        <v>27809</v>
      </c>
      <c r="E163" s="98">
        <v>0</v>
      </c>
      <c r="F163" s="98">
        <v>3938</v>
      </c>
      <c r="G163" s="98">
        <v>124</v>
      </c>
      <c r="H163" s="98">
        <v>0</v>
      </c>
      <c r="I163" s="98">
        <v>0</v>
      </c>
      <c r="J163" s="98">
        <v>0</v>
      </c>
    </row>
    <row r="164" spans="1:10" x14ac:dyDescent="0.25">
      <c r="A164" s="97" t="s">
        <v>169</v>
      </c>
      <c r="B164" s="97" t="s">
        <v>562</v>
      </c>
      <c r="C164" s="97" t="s">
        <v>563</v>
      </c>
      <c r="D164" s="98">
        <v>320384</v>
      </c>
      <c r="E164" s="98">
        <v>0</v>
      </c>
      <c r="F164" s="98">
        <v>61651</v>
      </c>
      <c r="G164" s="98">
        <v>22577</v>
      </c>
      <c r="H164" s="98">
        <v>0</v>
      </c>
      <c r="I164" s="98">
        <v>0</v>
      </c>
      <c r="J164" s="98">
        <v>0</v>
      </c>
    </row>
    <row r="165" spans="1:10" x14ac:dyDescent="0.25">
      <c r="A165" s="97" t="s">
        <v>170</v>
      </c>
      <c r="B165" s="97" t="s">
        <v>564</v>
      </c>
      <c r="C165" s="97" t="s">
        <v>563</v>
      </c>
      <c r="D165" s="98">
        <v>142825</v>
      </c>
      <c r="E165" s="98">
        <v>0</v>
      </c>
      <c r="F165" s="98">
        <v>34393</v>
      </c>
      <c r="G165" s="98">
        <v>8023</v>
      </c>
      <c r="H165" s="98">
        <v>0</v>
      </c>
      <c r="I165" s="98">
        <v>0</v>
      </c>
      <c r="J165" s="98">
        <v>0</v>
      </c>
    </row>
    <row r="166" spans="1:10" x14ac:dyDescent="0.25">
      <c r="A166" s="97" t="s">
        <v>171</v>
      </c>
      <c r="B166" s="97" t="s">
        <v>403</v>
      </c>
      <c r="C166" s="97" t="s">
        <v>563</v>
      </c>
      <c r="D166" s="98">
        <v>211260</v>
      </c>
      <c r="E166" s="98">
        <v>0</v>
      </c>
      <c r="F166" s="98">
        <v>52170</v>
      </c>
      <c r="G166" s="98">
        <v>25438</v>
      </c>
      <c r="H166" s="98">
        <v>691</v>
      </c>
      <c r="I166" s="98">
        <v>3772</v>
      </c>
      <c r="J166" s="98">
        <v>0</v>
      </c>
    </row>
    <row r="167" spans="1:10" x14ac:dyDescent="0.25">
      <c r="A167" s="97" t="s">
        <v>172</v>
      </c>
      <c r="B167" s="97" t="s">
        <v>565</v>
      </c>
      <c r="C167" s="97" t="s">
        <v>563</v>
      </c>
      <c r="D167" s="98">
        <v>215568</v>
      </c>
      <c r="E167" s="98">
        <v>0</v>
      </c>
      <c r="F167" s="98">
        <v>52170</v>
      </c>
      <c r="G167" s="98">
        <v>4540</v>
      </c>
      <c r="H167" s="98">
        <v>0</v>
      </c>
      <c r="I167" s="98">
        <v>0</v>
      </c>
      <c r="J167" s="98">
        <v>0</v>
      </c>
    </row>
    <row r="168" spans="1:10" x14ac:dyDescent="0.25">
      <c r="A168" s="97" t="s">
        <v>173</v>
      </c>
      <c r="B168" s="97" t="s">
        <v>566</v>
      </c>
      <c r="C168" s="97" t="s">
        <v>563</v>
      </c>
      <c r="D168" s="98">
        <v>235121</v>
      </c>
      <c r="E168" s="98">
        <v>0</v>
      </c>
      <c r="F168" s="98">
        <v>52592</v>
      </c>
      <c r="G168" s="98">
        <v>16171</v>
      </c>
      <c r="H168" s="98">
        <v>0</v>
      </c>
      <c r="I168" s="98">
        <v>0</v>
      </c>
      <c r="J168" s="98">
        <v>0</v>
      </c>
    </row>
    <row r="169" spans="1:10" x14ac:dyDescent="0.25">
      <c r="A169" s="97" t="s">
        <v>174</v>
      </c>
      <c r="B169" s="97" t="s">
        <v>350</v>
      </c>
      <c r="C169" s="97" t="s">
        <v>563</v>
      </c>
      <c r="D169" s="98">
        <v>4868735</v>
      </c>
      <c r="E169" s="98">
        <v>15286</v>
      </c>
      <c r="F169" s="98">
        <v>662721</v>
      </c>
      <c r="G169" s="98">
        <v>301960</v>
      </c>
      <c r="H169" s="98">
        <v>0</v>
      </c>
      <c r="I169" s="98">
        <v>0</v>
      </c>
      <c r="J169" s="98">
        <v>0</v>
      </c>
    </row>
    <row r="170" spans="1:10" x14ac:dyDescent="0.25">
      <c r="A170" s="97" t="s">
        <v>175</v>
      </c>
      <c r="B170" s="97" t="s">
        <v>567</v>
      </c>
      <c r="C170" s="97" t="s">
        <v>563</v>
      </c>
      <c r="D170" s="98">
        <v>90035</v>
      </c>
      <c r="E170" s="98">
        <v>0</v>
      </c>
      <c r="F170" s="98">
        <v>20182</v>
      </c>
      <c r="G170" s="98">
        <v>5411</v>
      </c>
      <c r="H170" s="98">
        <v>0</v>
      </c>
      <c r="I170" s="98">
        <v>0</v>
      </c>
      <c r="J170" s="98">
        <v>0</v>
      </c>
    </row>
    <row r="171" spans="1:10" x14ac:dyDescent="0.25">
      <c r="A171" s="97" t="s">
        <v>176</v>
      </c>
      <c r="B171" s="97" t="s">
        <v>568</v>
      </c>
      <c r="C171" s="97" t="s">
        <v>563</v>
      </c>
      <c r="D171" s="98">
        <v>412385</v>
      </c>
      <c r="E171" s="98">
        <v>0</v>
      </c>
      <c r="F171" s="98">
        <v>100885</v>
      </c>
      <c r="G171" s="98">
        <v>47206</v>
      </c>
      <c r="H171" s="98">
        <v>0</v>
      </c>
      <c r="I171" s="98">
        <v>0</v>
      </c>
      <c r="J171" s="98">
        <v>0</v>
      </c>
    </row>
    <row r="172" spans="1:10" x14ac:dyDescent="0.25">
      <c r="A172" s="97" t="s">
        <v>177</v>
      </c>
      <c r="B172" s="97" t="s">
        <v>569</v>
      </c>
      <c r="C172" s="97" t="s">
        <v>563</v>
      </c>
      <c r="D172" s="98">
        <v>159149</v>
      </c>
      <c r="E172" s="98">
        <v>0</v>
      </c>
      <c r="F172" s="98">
        <v>45014</v>
      </c>
      <c r="G172" s="98">
        <v>5535</v>
      </c>
      <c r="H172" s="98">
        <v>0</v>
      </c>
      <c r="I172" s="98">
        <v>0</v>
      </c>
      <c r="J172" s="98">
        <v>0</v>
      </c>
    </row>
    <row r="173" spans="1:10" x14ac:dyDescent="0.25">
      <c r="A173" s="97" t="s">
        <v>178</v>
      </c>
      <c r="B173" s="97" t="s">
        <v>570</v>
      </c>
      <c r="C173" s="97" t="s">
        <v>563</v>
      </c>
      <c r="D173" s="98">
        <v>13128</v>
      </c>
      <c r="E173" s="98">
        <v>0</v>
      </c>
      <c r="F173" s="98">
        <v>3701</v>
      </c>
      <c r="G173" s="98">
        <v>124</v>
      </c>
      <c r="H173" s="98">
        <v>0</v>
      </c>
      <c r="I173" s="98">
        <v>0</v>
      </c>
      <c r="J173" s="98">
        <v>0</v>
      </c>
    </row>
    <row r="174" spans="1:10" x14ac:dyDescent="0.25">
      <c r="A174" s="97" t="s">
        <v>179</v>
      </c>
      <c r="B174" s="97" t="s">
        <v>571</v>
      </c>
      <c r="C174" s="97" t="s">
        <v>563</v>
      </c>
      <c r="D174" s="98">
        <v>15043</v>
      </c>
      <c r="E174" s="98">
        <v>0</v>
      </c>
      <c r="F174" s="98">
        <v>5613</v>
      </c>
      <c r="G174" s="98">
        <v>0</v>
      </c>
      <c r="H174" s="98">
        <v>0</v>
      </c>
      <c r="I174" s="98">
        <v>0</v>
      </c>
      <c r="J174" s="98">
        <v>0</v>
      </c>
    </row>
    <row r="175" spans="1:10" x14ac:dyDescent="0.25">
      <c r="A175" s="97" t="s">
        <v>180</v>
      </c>
      <c r="B175" s="97" t="s">
        <v>572</v>
      </c>
      <c r="C175" s="97" t="s">
        <v>563</v>
      </c>
      <c r="D175" s="98">
        <v>6281</v>
      </c>
      <c r="E175" s="98">
        <v>0</v>
      </c>
      <c r="F175" s="98">
        <v>4827</v>
      </c>
      <c r="G175" s="98">
        <v>0</v>
      </c>
      <c r="H175" s="98">
        <v>0</v>
      </c>
      <c r="I175" s="98">
        <v>0</v>
      </c>
      <c r="J175" s="98">
        <v>0</v>
      </c>
    </row>
    <row r="176" spans="1:10" x14ac:dyDescent="0.25">
      <c r="A176" s="97" t="s">
        <v>181</v>
      </c>
      <c r="B176" s="97" t="s">
        <v>357</v>
      </c>
      <c r="C176" s="97" t="s">
        <v>573</v>
      </c>
      <c r="D176" s="98">
        <v>151015</v>
      </c>
      <c r="E176" s="98">
        <v>0</v>
      </c>
      <c r="F176" s="98">
        <v>34559</v>
      </c>
      <c r="G176" s="98">
        <v>18596</v>
      </c>
      <c r="H176" s="98">
        <v>259</v>
      </c>
      <c r="I176" s="98">
        <v>1415</v>
      </c>
      <c r="J176" s="98">
        <v>0</v>
      </c>
    </row>
    <row r="177" spans="1:10" x14ac:dyDescent="0.25">
      <c r="A177" s="97" t="s">
        <v>182</v>
      </c>
      <c r="B177" s="97" t="s">
        <v>574</v>
      </c>
      <c r="C177" s="97" t="s">
        <v>573</v>
      </c>
      <c r="D177" s="98">
        <v>106817</v>
      </c>
      <c r="E177" s="98">
        <v>0</v>
      </c>
      <c r="F177" s="98">
        <v>22126</v>
      </c>
      <c r="G177" s="98">
        <v>7650</v>
      </c>
      <c r="H177" s="98">
        <v>0</v>
      </c>
      <c r="I177" s="98">
        <v>0</v>
      </c>
      <c r="J177" s="98">
        <v>0</v>
      </c>
    </row>
    <row r="178" spans="1:10" x14ac:dyDescent="0.25">
      <c r="A178" s="97" t="s">
        <v>183</v>
      </c>
      <c r="B178" s="97" t="s">
        <v>575</v>
      </c>
      <c r="C178" s="97" t="s">
        <v>573</v>
      </c>
      <c r="D178" s="98">
        <v>37779</v>
      </c>
      <c r="E178" s="98">
        <v>0</v>
      </c>
      <c r="F178" s="98">
        <v>6746</v>
      </c>
      <c r="G178" s="98">
        <v>2488</v>
      </c>
      <c r="H178" s="98">
        <v>173</v>
      </c>
      <c r="I178" s="98">
        <v>943</v>
      </c>
      <c r="J178" s="98">
        <v>0</v>
      </c>
    </row>
    <row r="179" spans="1:10" x14ac:dyDescent="0.25">
      <c r="A179" s="97" t="s">
        <v>184</v>
      </c>
      <c r="B179" s="97" t="s">
        <v>360</v>
      </c>
      <c r="C179" s="97" t="s">
        <v>573</v>
      </c>
      <c r="D179" s="98">
        <v>9402</v>
      </c>
      <c r="E179" s="98">
        <v>0</v>
      </c>
      <c r="F179" s="98">
        <v>5090</v>
      </c>
      <c r="G179" s="98">
        <v>311</v>
      </c>
      <c r="H179" s="98">
        <v>0</v>
      </c>
      <c r="I179" s="98">
        <v>0</v>
      </c>
      <c r="J179" s="98">
        <v>0</v>
      </c>
    </row>
    <row r="180" spans="1:10" x14ac:dyDescent="0.25">
      <c r="A180" s="97" t="s">
        <v>407</v>
      </c>
      <c r="B180" s="97" t="s">
        <v>576</v>
      </c>
      <c r="C180" s="97" t="s">
        <v>577</v>
      </c>
      <c r="D180" s="98">
        <v>1937006</v>
      </c>
      <c r="E180" s="98">
        <v>0</v>
      </c>
      <c r="F180" s="98">
        <v>31916</v>
      </c>
      <c r="G180" s="98">
        <v>207609</v>
      </c>
      <c r="H180" s="98">
        <v>5180</v>
      </c>
      <c r="I180" s="98">
        <v>28292</v>
      </c>
      <c r="J180" s="98">
        <v>0</v>
      </c>
    </row>
    <row r="181" spans="1:10" x14ac:dyDescent="0.25">
      <c r="A181" s="97" t="s">
        <v>363</v>
      </c>
      <c r="B181" s="97" t="s">
        <v>578</v>
      </c>
      <c r="C181" s="97" t="s">
        <v>577</v>
      </c>
      <c r="D181" s="96">
        <v>96246</v>
      </c>
      <c r="E181" s="98">
        <v>0</v>
      </c>
      <c r="F181" s="98">
        <v>9762</v>
      </c>
      <c r="G181" s="99">
        <v>0</v>
      </c>
      <c r="H181" s="99">
        <v>0</v>
      </c>
      <c r="I181" s="99">
        <v>0</v>
      </c>
      <c r="J181" s="99">
        <v>0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CCFF"/>
  </sheetPr>
  <dimension ref="A1:AV225"/>
  <sheetViews>
    <sheetView zoomScale="98" zoomScaleNormal="98" workbookViewId="0">
      <pane xSplit="7" ySplit="11" topLeftCell="AT30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R196" sqref="AR196"/>
    </sheetView>
  </sheetViews>
  <sheetFormatPr defaultColWidth="9.140625" defaultRowHeight="15" x14ac:dyDescent="0.25"/>
  <cols>
    <col min="1" max="1" width="9.140625" style="126"/>
    <col min="2" max="2" width="33" style="8" bestFit="1" customWidth="1"/>
    <col min="3" max="3" width="18.5703125" style="8" customWidth="1"/>
    <col min="4" max="4" width="18.28515625" style="194" customWidth="1"/>
    <col min="5" max="5" width="17.140625" style="8" customWidth="1"/>
    <col min="6" max="6" width="15.7109375" style="8" customWidth="1"/>
    <col min="7" max="7" width="17.42578125" style="8" customWidth="1"/>
    <col min="8" max="16" width="15.7109375" style="8" customWidth="1"/>
    <col min="17" max="17" width="15.7109375" style="101" customWidth="1"/>
    <col min="18" max="34" width="15.7109375" style="8" customWidth="1"/>
    <col min="35" max="35" width="14.42578125" style="8" customWidth="1"/>
    <col min="36" max="36" width="13.7109375" style="8" customWidth="1"/>
    <col min="37" max="38" width="12.85546875" style="8" customWidth="1"/>
    <col min="39" max="39" width="16.85546875" style="8" customWidth="1"/>
    <col min="40" max="45" width="12.85546875" style="8" customWidth="1"/>
    <col min="46" max="46" width="16.85546875" style="8" customWidth="1"/>
    <col min="47" max="47" width="12" style="8" customWidth="1"/>
    <col min="48" max="48" width="12.85546875" style="8" customWidth="1"/>
    <col min="49" max="16384" width="9.140625" style="8"/>
  </cols>
  <sheetData>
    <row r="1" spans="1:48" s="69" customFormat="1" ht="21" x14ac:dyDescent="0.35">
      <c r="A1" s="130" t="s">
        <v>0</v>
      </c>
      <c r="B1" s="71"/>
      <c r="C1" s="72" t="s">
        <v>6</v>
      </c>
      <c r="D1" s="189"/>
      <c r="E1" s="72"/>
      <c r="F1" s="70"/>
      <c r="G1" s="70"/>
      <c r="H1" s="73"/>
      <c r="I1" s="73"/>
      <c r="J1" s="72" t="str">
        <f>C1</f>
        <v>Title I-A Formula</v>
      </c>
      <c r="K1" s="72"/>
      <c r="L1" s="70"/>
      <c r="M1" s="70"/>
      <c r="N1" s="70"/>
      <c r="O1" s="70"/>
      <c r="P1" s="72" t="str">
        <f>C1</f>
        <v>Title I-A Formula</v>
      </c>
      <c r="Q1" s="104"/>
      <c r="R1" s="72"/>
      <c r="S1" s="72"/>
      <c r="T1" s="70"/>
      <c r="U1" s="70"/>
      <c r="V1" s="72" t="str">
        <f>C1</f>
        <v>Title I-A Formula</v>
      </c>
      <c r="W1" s="70"/>
      <c r="X1" s="73"/>
      <c r="Y1" s="73"/>
      <c r="Z1" s="72"/>
      <c r="AA1" s="72"/>
      <c r="AB1" s="72" t="str">
        <f>C1</f>
        <v>Title I-A Formula</v>
      </c>
      <c r="AC1" s="70"/>
      <c r="AD1" s="70"/>
      <c r="AE1" s="70"/>
      <c r="AF1" s="72" t="str">
        <f>C1</f>
        <v>Title I-A Formula</v>
      </c>
      <c r="AG1" s="73"/>
      <c r="AH1" s="72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48" s="69" customFormat="1" ht="15.75" x14ac:dyDescent="0.25">
      <c r="A2" s="131" t="s">
        <v>1</v>
      </c>
      <c r="B2" s="71"/>
      <c r="C2" s="75" t="s">
        <v>364</v>
      </c>
      <c r="D2" s="190"/>
      <c r="E2" s="75"/>
      <c r="F2" s="74"/>
      <c r="G2" s="74"/>
      <c r="H2" s="73"/>
      <c r="I2" s="73"/>
      <c r="J2" s="74" t="str">
        <f>"FY"&amp;C4</f>
        <v>FY2018-2019</v>
      </c>
      <c r="K2" s="74"/>
      <c r="L2" s="76"/>
      <c r="M2" s="76"/>
      <c r="N2" s="74"/>
      <c r="O2" s="74"/>
      <c r="P2" s="74" t="str">
        <f>"FY"&amp;C4</f>
        <v>FY2018-2019</v>
      </c>
      <c r="Q2" s="105"/>
      <c r="R2" s="74"/>
      <c r="S2" s="74"/>
      <c r="T2" s="76"/>
      <c r="U2" s="76"/>
      <c r="V2" s="74" t="str">
        <f>"FY"&amp;C4</f>
        <v>FY2018-2019</v>
      </c>
      <c r="W2" s="74"/>
      <c r="X2" s="74"/>
      <c r="Y2" s="74"/>
      <c r="Z2" s="74"/>
      <c r="AA2" s="74"/>
      <c r="AB2" s="74" t="str">
        <f>"FY"&amp;C4</f>
        <v>FY2018-2019</v>
      </c>
      <c r="AC2" s="76"/>
      <c r="AD2" s="74"/>
      <c r="AE2" s="74"/>
      <c r="AF2" s="74" t="str">
        <f>"FY"&amp;C4</f>
        <v>FY2018-2019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</row>
    <row r="3" spans="1:48" s="69" customFormat="1" ht="15.75" x14ac:dyDescent="0.25">
      <c r="A3" s="131" t="s">
        <v>3</v>
      </c>
      <c r="B3" s="71"/>
      <c r="C3" s="76">
        <v>4010</v>
      </c>
      <c r="D3" s="191"/>
      <c r="E3" s="76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104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s="69" customFormat="1" ht="21" x14ac:dyDescent="0.35">
      <c r="A4" s="131" t="s">
        <v>2</v>
      </c>
      <c r="B4" s="71"/>
      <c r="C4" s="72" t="s">
        <v>620</v>
      </c>
      <c r="D4" s="191"/>
      <c r="E4" s="76"/>
      <c r="F4" s="74"/>
      <c r="G4" s="74"/>
      <c r="H4" s="73"/>
      <c r="I4" s="73"/>
      <c r="J4" s="73"/>
      <c r="K4" s="73"/>
      <c r="L4" s="73"/>
      <c r="M4" s="73"/>
      <c r="N4" s="73"/>
      <c r="O4" s="73"/>
      <c r="P4" s="73"/>
      <c r="Q4" s="10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</row>
    <row r="5" spans="1:48" s="69" customFormat="1" ht="15.75" x14ac:dyDescent="0.25">
      <c r="A5" s="131" t="s">
        <v>397</v>
      </c>
      <c r="B5" s="71"/>
      <c r="C5" s="74" t="s">
        <v>660</v>
      </c>
      <c r="D5" s="191"/>
      <c r="E5" s="74"/>
      <c r="F5" s="74"/>
      <c r="G5" s="77"/>
      <c r="H5" s="77"/>
      <c r="I5" s="77"/>
      <c r="J5" s="77"/>
      <c r="K5" s="77"/>
      <c r="L5" s="77"/>
      <c r="M5" s="77"/>
      <c r="N5" s="77"/>
      <c r="O5" s="77"/>
      <c r="P5" s="77"/>
      <c r="Q5" s="106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</row>
    <row r="6" spans="1:48" s="69" customFormat="1" ht="15.75" x14ac:dyDescent="0.25">
      <c r="A6" s="131" t="s">
        <v>4</v>
      </c>
      <c r="B6" s="71"/>
      <c r="C6" s="74" t="s">
        <v>365</v>
      </c>
      <c r="D6" s="191"/>
      <c r="E6" s="74"/>
      <c r="F6" s="74"/>
      <c r="G6" s="77"/>
      <c r="H6" s="77"/>
      <c r="I6" s="77"/>
      <c r="J6" s="77"/>
      <c r="K6" s="77"/>
      <c r="L6" s="77"/>
      <c r="M6" s="77"/>
      <c r="N6" s="77"/>
      <c r="O6" s="77"/>
      <c r="P6" s="77"/>
      <c r="Q6" s="106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</row>
    <row r="7" spans="1:48" s="69" customFormat="1" ht="15.75" x14ac:dyDescent="0.25">
      <c r="A7" s="131"/>
      <c r="B7" s="71"/>
      <c r="C7" s="74"/>
      <c r="D7" s="191"/>
      <c r="E7" s="74"/>
      <c r="F7" s="74"/>
      <c r="G7" s="77"/>
      <c r="H7" s="77"/>
      <c r="I7" s="77"/>
      <c r="J7" s="77"/>
      <c r="K7" s="77"/>
      <c r="L7" s="77"/>
      <c r="M7" s="77"/>
      <c r="N7" s="77"/>
      <c r="O7" s="77"/>
      <c r="P7" s="77"/>
      <c r="Q7" s="10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s="69" customFormat="1" ht="15.75" x14ac:dyDescent="0.25">
      <c r="A8" s="131" t="s">
        <v>379</v>
      </c>
      <c r="B8" s="71"/>
      <c r="C8" s="74" t="s">
        <v>585</v>
      </c>
      <c r="D8" s="191"/>
      <c r="E8" s="74"/>
      <c r="F8" s="74"/>
      <c r="G8" s="77"/>
      <c r="H8" s="77"/>
      <c r="I8" s="77"/>
      <c r="J8" s="77"/>
      <c r="K8" s="77"/>
      <c r="L8" s="77"/>
      <c r="M8" s="77"/>
      <c r="N8" s="77"/>
      <c r="O8" s="77"/>
      <c r="P8" s="77"/>
      <c r="Q8" s="106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1:48" s="69" customFormat="1" ht="15.75" x14ac:dyDescent="0.25">
      <c r="A9" s="131" t="s">
        <v>380</v>
      </c>
      <c r="B9" s="71"/>
      <c r="C9" s="74" t="s">
        <v>381</v>
      </c>
      <c r="D9" s="191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77"/>
      <c r="Q9" s="10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</row>
    <row r="10" spans="1:48" s="69" customFormat="1" ht="16.5" thickBot="1" x14ac:dyDescent="0.3">
      <c r="A10" s="131" t="s">
        <v>398</v>
      </c>
      <c r="B10" s="71"/>
      <c r="C10" s="74" t="s">
        <v>668</v>
      </c>
      <c r="D10" s="191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06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</row>
    <row r="11" spans="1:48" s="41" customFormat="1" ht="48.75" customHeight="1" thickBot="1" x14ac:dyDescent="0.3">
      <c r="A11" s="122" t="s">
        <v>366</v>
      </c>
      <c r="B11" s="45" t="s">
        <v>367</v>
      </c>
      <c r="C11" s="94" t="s">
        <v>368</v>
      </c>
      <c r="D11" s="114" t="s">
        <v>655</v>
      </c>
      <c r="E11" s="46" t="s">
        <v>646</v>
      </c>
      <c r="F11" s="48" t="s">
        <v>369</v>
      </c>
      <c r="G11" s="55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671</v>
      </c>
      <c r="AU11" s="107" t="s">
        <v>653</v>
      </c>
      <c r="AV11" s="107" t="s">
        <v>654</v>
      </c>
    </row>
    <row r="12" spans="1:48" s="4" customFormat="1" ht="18" customHeight="1" thickBot="1" x14ac:dyDescent="0.35">
      <c r="A12" s="159" t="s">
        <v>7</v>
      </c>
      <c r="B12" s="144" t="s">
        <v>185</v>
      </c>
      <c r="C12" s="198">
        <v>1162304</v>
      </c>
      <c r="D12" s="145"/>
      <c r="E12" s="198">
        <v>1162304</v>
      </c>
      <c r="F12" s="198">
        <f>SUM(H12:AQ12)</f>
        <v>1162304</v>
      </c>
      <c r="G12" s="198">
        <f>E12-(F12+AU12+AV12)</f>
        <v>0</v>
      </c>
      <c r="H12" s="201"/>
      <c r="I12" s="201"/>
      <c r="J12" s="201"/>
      <c r="K12" s="201"/>
      <c r="L12" s="201"/>
      <c r="M12" s="201">
        <v>128609</v>
      </c>
      <c r="N12" s="201">
        <v>93057</v>
      </c>
      <c r="O12" s="201"/>
      <c r="P12" s="201">
        <f>95073+76768</f>
        <v>171841</v>
      </c>
      <c r="Q12" s="201">
        <v>59385.74</v>
      </c>
      <c r="R12" s="201">
        <v>87456</v>
      </c>
      <c r="S12" s="201">
        <v>71937</v>
      </c>
      <c r="T12" s="201">
        <v>113038</v>
      </c>
      <c r="U12" s="201">
        <v>156593.43</v>
      </c>
      <c r="V12" s="201"/>
      <c r="W12" s="201">
        <f>246672.24+33714.59</f>
        <v>280386.82999999996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</row>
    <row r="13" spans="1:48" s="4" customFormat="1" ht="18" customHeight="1" thickBot="1" x14ac:dyDescent="0.35">
      <c r="A13" s="159" t="s">
        <v>8</v>
      </c>
      <c r="B13" s="144" t="s">
        <v>418</v>
      </c>
      <c r="C13" s="198">
        <v>4483355</v>
      </c>
      <c r="D13" s="145"/>
      <c r="E13" s="198">
        <v>4483355</v>
      </c>
      <c r="F13" s="198">
        <f t="shared" ref="F13:F76" si="0">SUM(H13:AQ13)</f>
        <v>4483355</v>
      </c>
      <c r="G13" s="198">
        <f t="shared" ref="G13:G77" si="1">E13-(F13+AU13+AV13)</f>
        <v>0</v>
      </c>
      <c r="H13" s="201"/>
      <c r="I13" s="201"/>
      <c r="J13" s="201"/>
      <c r="K13" s="201"/>
      <c r="L13" s="201"/>
      <c r="M13" s="201"/>
      <c r="N13" s="201">
        <v>1017369</v>
      </c>
      <c r="O13" s="201">
        <v>372997</v>
      </c>
      <c r="P13" s="201">
        <v>346949</v>
      </c>
      <c r="Q13" s="201">
        <v>361963</v>
      </c>
      <c r="R13" s="201">
        <v>362145</v>
      </c>
      <c r="S13" s="201">
        <v>368132</v>
      </c>
      <c r="T13" s="201"/>
      <c r="U13" s="201">
        <f>384745+376939</f>
        <v>761684</v>
      </c>
      <c r="V13" s="201">
        <v>28218</v>
      </c>
      <c r="W13" s="201"/>
      <c r="X13" s="201">
        <v>284934.21999999997</v>
      </c>
      <c r="Y13" s="201">
        <v>578963.78</v>
      </c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</row>
    <row r="14" spans="1:48" s="4" customFormat="1" ht="18" customHeight="1" thickBot="1" x14ac:dyDescent="0.35">
      <c r="A14" s="159" t="s">
        <v>9</v>
      </c>
      <c r="B14" s="144" t="s">
        <v>187</v>
      </c>
      <c r="C14" s="198">
        <v>2077227</v>
      </c>
      <c r="D14" s="145"/>
      <c r="E14" s="198">
        <v>2077227</v>
      </c>
      <c r="F14" s="198">
        <f t="shared" si="0"/>
        <v>2077227</v>
      </c>
      <c r="G14" s="198">
        <f t="shared" si="1"/>
        <v>0</v>
      </c>
      <c r="H14" s="201"/>
      <c r="I14" s="201"/>
      <c r="J14" s="201"/>
      <c r="K14" s="201"/>
      <c r="L14" s="201"/>
      <c r="M14" s="201"/>
      <c r="N14" s="201">
        <f>97371+225159+143680</f>
        <v>466210</v>
      </c>
      <c r="O14" s="201">
        <v>144919</v>
      </c>
      <c r="P14" s="201">
        <v>171698</v>
      </c>
      <c r="Q14" s="201">
        <v>141445</v>
      </c>
      <c r="R14" s="201">
        <v>178619</v>
      </c>
      <c r="S14" s="201">
        <v>120694</v>
      </c>
      <c r="T14" s="201">
        <v>185921</v>
      </c>
      <c r="U14" s="201">
        <v>249104</v>
      </c>
      <c r="V14" s="201">
        <v>142166</v>
      </c>
      <c r="W14" s="201">
        <f>51491+31</f>
        <v>51522</v>
      </c>
      <c r="X14" s="201"/>
      <c r="Y14" s="201"/>
      <c r="Z14" s="201">
        <v>224929</v>
      </c>
      <c r="AA14" s="201"/>
      <c r="AB14" s="201"/>
      <c r="AC14" s="201"/>
      <c r="AD14" s="201"/>
      <c r="AE14" s="201"/>
      <c r="AF14" s="201"/>
      <c r="AG14" s="201"/>
      <c r="AH14" s="201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</row>
    <row r="15" spans="1:48" s="4" customFormat="1" ht="18" customHeight="1" thickBot="1" x14ac:dyDescent="0.35">
      <c r="A15" s="159" t="s">
        <v>10</v>
      </c>
      <c r="B15" s="144" t="s">
        <v>401</v>
      </c>
      <c r="C15" s="198">
        <v>1285434</v>
      </c>
      <c r="D15" s="145"/>
      <c r="E15" s="198">
        <v>1285434</v>
      </c>
      <c r="F15" s="198">
        <f t="shared" si="0"/>
        <v>1285434</v>
      </c>
      <c r="G15" s="198">
        <f t="shared" si="1"/>
        <v>0</v>
      </c>
      <c r="H15" s="201"/>
      <c r="I15" s="201"/>
      <c r="J15" s="201"/>
      <c r="K15" s="201"/>
      <c r="L15" s="201"/>
      <c r="M15" s="201"/>
      <c r="N15" s="201">
        <v>426954</v>
      </c>
      <c r="O15" s="201"/>
      <c r="P15" s="201"/>
      <c r="Q15" s="201">
        <f>53223+179270</f>
        <v>232493</v>
      </c>
      <c r="R15" s="201"/>
      <c r="S15" s="201">
        <f>74253+76451</f>
        <v>150704</v>
      </c>
      <c r="T15" s="201"/>
      <c r="U15" s="201"/>
      <c r="V15" s="201"/>
      <c r="W15" s="201">
        <v>6296</v>
      </c>
      <c r="X15" s="201"/>
      <c r="Y15" s="201"/>
      <c r="Z15" s="201">
        <v>383162</v>
      </c>
      <c r="AA15" s="201"/>
      <c r="AB15" s="201">
        <v>85825</v>
      </c>
      <c r="AC15" s="201"/>
      <c r="AD15" s="201"/>
      <c r="AE15" s="201"/>
      <c r="AF15" s="201"/>
      <c r="AG15" s="201"/>
      <c r="AH15" s="201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</row>
    <row r="16" spans="1:48" s="4" customFormat="1" ht="18" customHeight="1" thickBot="1" x14ac:dyDescent="0.35">
      <c r="A16" s="159" t="s">
        <v>11</v>
      </c>
      <c r="B16" s="144" t="s">
        <v>189</v>
      </c>
      <c r="C16" s="198">
        <v>100692</v>
      </c>
      <c r="D16" s="145">
        <v>9025</v>
      </c>
      <c r="E16" s="198">
        <v>0</v>
      </c>
      <c r="F16" s="198">
        <f t="shared" si="0"/>
        <v>0</v>
      </c>
      <c r="G16" s="198">
        <v>0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</row>
    <row r="17" spans="1:48" s="4" customFormat="1" ht="18" customHeight="1" thickBot="1" x14ac:dyDescent="0.35">
      <c r="A17" s="159" t="s">
        <v>12</v>
      </c>
      <c r="B17" s="144" t="s">
        <v>190</v>
      </c>
      <c r="C17" s="198">
        <v>68545</v>
      </c>
      <c r="D17" s="145">
        <v>9025</v>
      </c>
      <c r="E17" s="198">
        <v>0</v>
      </c>
      <c r="F17" s="198">
        <f t="shared" si="0"/>
        <v>0</v>
      </c>
      <c r="G17" s="198">
        <f t="shared" si="1"/>
        <v>0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</row>
    <row r="18" spans="1:48" s="4" customFormat="1" ht="18" customHeight="1" thickBot="1" x14ac:dyDescent="0.35">
      <c r="A18" s="159" t="s">
        <v>13</v>
      </c>
      <c r="B18" s="144" t="s">
        <v>621</v>
      </c>
      <c r="C18" s="198">
        <v>2843039</v>
      </c>
      <c r="D18" s="145"/>
      <c r="E18" s="198">
        <v>2843039</v>
      </c>
      <c r="F18" s="198">
        <f t="shared" si="0"/>
        <v>2843039</v>
      </c>
      <c r="G18" s="198">
        <f t="shared" si="1"/>
        <v>0</v>
      </c>
      <c r="H18" s="201"/>
      <c r="I18" s="201"/>
      <c r="J18" s="201"/>
      <c r="K18" s="201"/>
      <c r="L18" s="201"/>
      <c r="M18" s="201">
        <f>240277+246186+225008</f>
        <v>711471</v>
      </c>
      <c r="N18" s="201"/>
      <c r="O18" s="201">
        <f>258676+248900</f>
        <v>507576</v>
      </c>
      <c r="P18" s="201">
        <v>219778</v>
      </c>
      <c r="Q18" s="201"/>
      <c r="R18" s="201">
        <f>267724+236104</f>
        <v>503828</v>
      </c>
      <c r="S18" s="201">
        <v>350666</v>
      </c>
      <c r="T18" s="201"/>
      <c r="U18" s="201">
        <v>239233.98</v>
      </c>
      <c r="V18" s="201">
        <v>261707.11</v>
      </c>
      <c r="W18" s="201">
        <v>48778.91</v>
      </c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</row>
    <row r="19" spans="1:48" s="4" customFormat="1" ht="18" customHeight="1" thickBot="1" x14ac:dyDescent="0.35">
      <c r="A19" s="159" t="s">
        <v>14</v>
      </c>
      <c r="B19" s="144" t="s">
        <v>419</v>
      </c>
      <c r="C19" s="198">
        <v>840128</v>
      </c>
      <c r="D19" s="145"/>
      <c r="E19" s="198">
        <v>840128</v>
      </c>
      <c r="F19" s="198">
        <f t="shared" si="0"/>
        <v>840128</v>
      </c>
      <c r="G19" s="198">
        <f t="shared" si="1"/>
        <v>0</v>
      </c>
      <c r="H19" s="201"/>
      <c r="I19" s="201"/>
      <c r="J19" s="201"/>
      <c r="K19" s="201"/>
      <c r="L19" s="201"/>
      <c r="M19" s="201"/>
      <c r="N19" s="201">
        <f>63206+51433+16428</f>
        <v>131067</v>
      </c>
      <c r="O19" s="201">
        <v>54654</v>
      </c>
      <c r="P19" s="201">
        <v>55758</v>
      </c>
      <c r="Q19" s="201">
        <v>49865</v>
      </c>
      <c r="R19" s="201">
        <v>50029</v>
      </c>
      <c r="S19" s="201">
        <v>61340</v>
      </c>
      <c r="T19" s="201">
        <v>73953</v>
      </c>
      <c r="U19" s="201">
        <v>47973</v>
      </c>
      <c r="V19" s="201">
        <f>47671+9087.35</f>
        <v>56758.35</v>
      </c>
      <c r="W19" s="201">
        <v>65948.649999999994</v>
      </c>
      <c r="X19" s="201">
        <v>69233.350000000006</v>
      </c>
      <c r="Y19" s="201"/>
      <c r="Z19" s="201">
        <f>56638.63+66910.02</f>
        <v>123548.65</v>
      </c>
      <c r="AA19" s="201"/>
      <c r="AB19" s="201"/>
      <c r="AC19" s="201"/>
      <c r="AD19" s="201"/>
      <c r="AE19" s="201"/>
      <c r="AF19" s="201"/>
      <c r="AG19" s="201"/>
      <c r="AH19" s="201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</row>
    <row r="20" spans="1:48" s="4" customFormat="1" ht="18" customHeight="1" thickBot="1" x14ac:dyDescent="0.35">
      <c r="A20" s="159" t="s">
        <v>15</v>
      </c>
      <c r="B20" s="144" t="s">
        <v>421</v>
      </c>
      <c r="C20" s="198">
        <v>104669</v>
      </c>
      <c r="D20" s="145"/>
      <c r="E20" s="198">
        <v>104669</v>
      </c>
      <c r="F20" s="198">
        <f t="shared" si="0"/>
        <v>104669</v>
      </c>
      <c r="G20" s="198">
        <f t="shared" si="1"/>
        <v>0</v>
      </c>
      <c r="H20" s="201"/>
      <c r="I20" s="201"/>
      <c r="J20" s="201"/>
      <c r="K20" s="201"/>
      <c r="L20" s="201"/>
      <c r="M20" s="201"/>
      <c r="N20" s="203"/>
      <c r="O20" s="201"/>
      <c r="P20" s="201">
        <v>99324</v>
      </c>
      <c r="Q20" s="201"/>
      <c r="R20" s="201">
        <v>5307</v>
      </c>
      <c r="S20" s="201">
        <f>38</f>
        <v>38</v>
      </c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</row>
    <row r="21" spans="1:48" s="4" customFormat="1" ht="18" customHeight="1" thickBot="1" x14ac:dyDescent="0.35">
      <c r="A21" s="159" t="s">
        <v>16</v>
      </c>
      <c r="B21" s="144" t="s">
        <v>194</v>
      </c>
      <c r="C21" s="198">
        <v>610183</v>
      </c>
      <c r="D21" s="145"/>
      <c r="E21" s="198">
        <v>610183</v>
      </c>
      <c r="F21" s="198">
        <f t="shared" si="0"/>
        <v>610183</v>
      </c>
      <c r="G21" s="198">
        <f t="shared" si="1"/>
        <v>0</v>
      </c>
      <c r="H21" s="201"/>
      <c r="I21" s="201"/>
      <c r="J21" s="201"/>
      <c r="K21" s="201"/>
      <c r="L21" s="201">
        <v>124964</v>
      </c>
      <c r="M21" s="201">
        <v>45284</v>
      </c>
      <c r="N21" s="201">
        <v>5540</v>
      </c>
      <c r="O21" s="201">
        <v>42467</v>
      </c>
      <c r="P21" s="201">
        <v>45081</v>
      </c>
      <c r="Q21" s="201">
        <v>45968</v>
      </c>
      <c r="R21" s="201">
        <v>46088</v>
      </c>
      <c r="S21" s="235">
        <v>57497</v>
      </c>
      <c r="T21" s="201">
        <v>61500</v>
      </c>
      <c r="U21" s="201">
        <v>74176</v>
      </c>
      <c r="V21" s="201"/>
      <c r="W21" s="201">
        <v>61618</v>
      </c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</row>
    <row r="22" spans="1:48" s="4" customFormat="1" ht="18" customHeight="1" thickBot="1" x14ac:dyDescent="0.35">
      <c r="A22" s="159" t="s">
        <v>17</v>
      </c>
      <c r="B22" s="144" t="s">
        <v>195</v>
      </c>
      <c r="C22" s="198">
        <v>915999</v>
      </c>
      <c r="D22" s="145"/>
      <c r="E22" s="198">
        <v>915999</v>
      </c>
      <c r="F22" s="198">
        <f t="shared" si="0"/>
        <v>915999.00000000012</v>
      </c>
      <c r="G22" s="198">
        <f t="shared" si="1"/>
        <v>0</v>
      </c>
      <c r="H22" s="201"/>
      <c r="I22" s="201"/>
      <c r="J22" s="201"/>
      <c r="K22" s="201"/>
      <c r="L22" s="201"/>
      <c r="M22" s="201"/>
      <c r="N22" s="201"/>
      <c r="O22" s="201"/>
      <c r="P22" s="203"/>
      <c r="Q22" s="201">
        <v>568752</v>
      </c>
      <c r="R22" s="201"/>
      <c r="S22" s="201">
        <v>70754</v>
      </c>
      <c r="T22" s="201"/>
      <c r="U22" s="201">
        <v>136092.78</v>
      </c>
      <c r="V22" s="201">
        <v>59774.67</v>
      </c>
      <c r="W22" s="201"/>
      <c r="X22" s="201"/>
      <c r="Y22" s="201"/>
      <c r="Z22" s="201">
        <v>80625.55</v>
      </c>
      <c r="AA22" s="201"/>
      <c r="AB22" s="201"/>
      <c r="AC22" s="201"/>
      <c r="AD22" s="201"/>
      <c r="AE22" s="201"/>
      <c r="AF22" s="201"/>
      <c r="AG22" s="201"/>
      <c r="AH22" s="201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</row>
    <row r="23" spans="1:48" s="4" customFormat="1" ht="18" customHeight="1" thickBot="1" x14ac:dyDescent="0.35">
      <c r="A23" s="159" t="s">
        <v>18</v>
      </c>
      <c r="B23" s="144" t="s">
        <v>196</v>
      </c>
      <c r="C23" s="198">
        <v>4843069</v>
      </c>
      <c r="D23" s="145"/>
      <c r="E23" s="198">
        <v>4843069</v>
      </c>
      <c r="F23" s="198">
        <f t="shared" si="0"/>
        <v>4843069</v>
      </c>
      <c r="G23" s="198">
        <f t="shared" si="1"/>
        <v>0</v>
      </c>
      <c r="H23" s="201"/>
      <c r="I23" s="201"/>
      <c r="J23" s="201"/>
      <c r="K23" s="201"/>
      <c r="L23" s="201"/>
      <c r="M23" s="201"/>
      <c r="N23" s="201">
        <v>1073269</v>
      </c>
      <c r="O23" s="201">
        <v>454070</v>
      </c>
      <c r="P23" s="201">
        <v>421547</v>
      </c>
      <c r="Q23" s="201">
        <v>366360</v>
      </c>
      <c r="R23" s="201">
        <v>383517</v>
      </c>
      <c r="S23" s="201">
        <v>805000</v>
      </c>
      <c r="T23" s="201"/>
      <c r="U23" s="201">
        <v>921749</v>
      </c>
      <c r="V23" s="201">
        <v>159408.81</v>
      </c>
      <c r="W23" s="201"/>
      <c r="X23" s="201"/>
      <c r="Y23" s="201"/>
      <c r="Z23" s="201">
        <v>258148.19</v>
      </c>
      <c r="AA23" s="201"/>
      <c r="AB23" s="201"/>
      <c r="AC23" s="201"/>
      <c r="AD23" s="201"/>
      <c r="AE23" s="201"/>
      <c r="AF23" s="201"/>
      <c r="AG23" s="201"/>
      <c r="AH23" s="201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</row>
    <row r="24" spans="1:48" s="4" customFormat="1" ht="18" customHeight="1" thickBot="1" x14ac:dyDescent="0.35">
      <c r="A24" s="159" t="s">
        <v>19</v>
      </c>
      <c r="B24" s="144" t="s">
        <v>197</v>
      </c>
      <c r="C24" s="198">
        <v>901755</v>
      </c>
      <c r="D24" s="145"/>
      <c r="E24" s="198">
        <v>901755</v>
      </c>
      <c r="F24" s="198">
        <f t="shared" si="0"/>
        <v>901754.99999999988</v>
      </c>
      <c r="G24" s="198">
        <f t="shared" si="1"/>
        <v>0</v>
      </c>
      <c r="H24" s="201"/>
      <c r="I24" s="201"/>
      <c r="J24" s="201"/>
      <c r="K24" s="201"/>
      <c r="L24" s="201"/>
      <c r="M24" s="201"/>
      <c r="N24" s="201"/>
      <c r="O24" s="201">
        <v>21976</v>
      </c>
      <c r="P24" s="201">
        <v>66357</v>
      </c>
      <c r="Q24" s="201"/>
      <c r="R24" s="201">
        <f>65035+70600</f>
        <v>135635</v>
      </c>
      <c r="S24" s="201">
        <v>87877</v>
      </c>
      <c r="T24" s="201">
        <v>68450</v>
      </c>
      <c r="U24" s="201"/>
      <c r="V24" s="201"/>
      <c r="W24" s="201">
        <f>86189+13949.1</f>
        <v>100138.1</v>
      </c>
      <c r="X24" s="201">
        <v>38743.160000000003</v>
      </c>
      <c r="Y24" s="201">
        <v>37823.47</v>
      </c>
      <c r="Z24" s="201">
        <v>36881.589999999997</v>
      </c>
      <c r="AA24" s="201"/>
      <c r="AB24" s="201">
        <f>36393.02+37214.2</f>
        <v>73607.22</v>
      </c>
      <c r="AC24" s="201">
        <v>35664.620000000003</v>
      </c>
      <c r="AD24" s="201">
        <v>34287.82</v>
      </c>
      <c r="AE24" s="201">
        <v>34562.26</v>
      </c>
      <c r="AF24" s="201">
        <v>50380.160000000003</v>
      </c>
      <c r="AG24" s="201">
        <v>79371.600000000006</v>
      </c>
      <c r="AH24" s="201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</row>
    <row r="25" spans="1:48" s="4" customFormat="1" ht="18" customHeight="1" thickBot="1" x14ac:dyDescent="0.35">
      <c r="A25" s="159" t="s">
        <v>20</v>
      </c>
      <c r="B25" s="144" t="s">
        <v>198</v>
      </c>
      <c r="C25" s="198">
        <v>28974</v>
      </c>
      <c r="D25" s="145">
        <v>9025</v>
      </c>
      <c r="E25" s="198">
        <v>0</v>
      </c>
      <c r="F25" s="198">
        <f t="shared" si="0"/>
        <v>0</v>
      </c>
      <c r="G25" s="198">
        <f t="shared" si="1"/>
        <v>0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</row>
    <row r="26" spans="1:48" s="4" customFormat="1" ht="18" customHeight="1" thickBot="1" x14ac:dyDescent="0.35">
      <c r="A26" s="159" t="s">
        <v>21</v>
      </c>
      <c r="B26" s="144" t="s">
        <v>199</v>
      </c>
      <c r="C26" s="198">
        <v>11566911</v>
      </c>
      <c r="D26" s="145"/>
      <c r="E26" s="198">
        <v>11566911</v>
      </c>
      <c r="F26" s="198">
        <f t="shared" si="0"/>
        <v>11566911</v>
      </c>
      <c r="G26" s="198">
        <f t="shared" si="1"/>
        <v>0</v>
      </c>
      <c r="H26" s="201"/>
      <c r="I26" s="201"/>
      <c r="J26" s="201"/>
      <c r="K26" s="201"/>
      <c r="L26" s="201"/>
      <c r="M26" s="201"/>
      <c r="N26" s="201">
        <v>1711998</v>
      </c>
      <c r="O26" s="201">
        <v>1098392</v>
      </c>
      <c r="P26" s="201">
        <v>1032934</v>
      </c>
      <c r="Q26" s="201">
        <v>1010515</v>
      </c>
      <c r="R26" s="201">
        <v>914308</v>
      </c>
      <c r="S26" s="201">
        <v>984008</v>
      </c>
      <c r="T26" s="201"/>
      <c r="U26" s="201"/>
      <c r="V26" s="201"/>
      <c r="W26" s="201">
        <v>2223645</v>
      </c>
      <c r="X26" s="201">
        <v>2591111</v>
      </c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1:48" s="4" customFormat="1" ht="18" customHeight="1" thickBot="1" x14ac:dyDescent="0.35">
      <c r="A27" s="159" t="s">
        <v>22</v>
      </c>
      <c r="B27" s="144" t="s">
        <v>200</v>
      </c>
      <c r="C27" s="198">
        <v>395496</v>
      </c>
      <c r="D27" s="145"/>
      <c r="E27" s="198">
        <v>395496</v>
      </c>
      <c r="F27" s="198">
        <f t="shared" si="0"/>
        <v>395496</v>
      </c>
      <c r="G27" s="198">
        <f t="shared" si="1"/>
        <v>0</v>
      </c>
      <c r="H27" s="201"/>
      <c r="I27" s="201"/>
      <c r="J27" s="201"/>
      <c r="K27" s="201"/>
      <c r="L27" s="201"/>
      <c r="M27" s="201"/>
      <c r="N27" s="201">
        <f>17897+38550</f>
        <v>56447</v>
      </c>
      <c r="O27" s="201">
        <v>16017</v>
      </c>
      <c r="P27" s="201">
        <v>61776</v>
      </c>
      <c r="Q27" s="201">
        <v>19940</v>
      </c>
      <c r="R27" s="201">
        <v>152780</v>
      </c>
      <c r="S27" s="201">
        <v>88535</v>
      </c>
      <c r="T27" s="201"/>
      <c r="U27" s="201"/>
      <c r="V27" s="201"/>
      <c r="W27" s="201"/>
      <c r="X27" s="201"/>
      <c r="Y27" s="201"/>
      <c r="Z27" s="201">
        <v>1</v>
      </c>
      <c r="AA27" s="201"/>
      <c r="AB27" s="201"/>
      <c r="AC27" s="201"/>
      <c r="AD27" s="201"/>
      <c r="AE27" s="201"/>
      <c r="AF27" s="201"/>
      <c r="AG27" s="201"/>
      <c r="AH27" s="201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</row>
    <row r="28" spans="1:48" s="4" customFormat="1" ht="18" customHeight="1" thickBot="1" x14ac:dyDescent="0.35">
      <c r="A28" s="159" t="s">
        <v>23</v>
      </c>
      <c r="B28" s="144" t="s">
        <v>423</v>
      </c>
      <c r="C28" s="198">
        <v>369886</v>
      </c>
      <c r="D28" s="145"/>
      <c r="E28" s="198">
        <v>369886</v>
      </c>
      <c r="F28" s="198">
        <f t="shared" si="0"/>
        <v>369886</v>
      </c>
      <c r="G28" s="198">
        <f t="shared" si="1"/>
        <v>0</v>
      </c>
      <c r="H28" s="201"/>
      <c r="I28" s="201"/>
      <c r="J28" s="201"/>
      <c r="K28" s="201"/>
      <c r="L28" s="201"/>
      <c r="M28" s="201"/>
      <c r="N28" s="201"/>
      <c r="O28" s="201">
        <v>3309</v>
      </c>
      <c r="P28" s="201"/>
      <c r="Q28" s="201">
        <v>259235</v>
      </c>
      <c r="R28" s="201"/>
      <c r="S28" s="201">
        <v>65981</v>
      </c>
      <c r="T28" s="201"/>
      <c r="U28" s="201"/>
      <c r="V28" s="201">
        <v>28041.09</v>
      </c>
      <c r="W28" s="201"/>
      <c r="X28" s="201"/>
      <c r="Y28" s="201"/>
      <c r="Z28" s="201"/>
      <c r="AA28" s="201">
        <v>13319.91</v>
      </c>
      <c r="AB28" s="201"/>
      <c r="AC28" s="201"/>
      <c r="AD28" s="201"/>
      <c r="AE28" s="201"/>
      <c r="AF28" s="201"/>
      <c r="AG28" s="201"/>
      <c r="AH28" s="201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</row>
    <row r="29" spans="1:48" s="4" customFormat="1" ht="18" customHeight="1" thickBot="1" x14ac:dyDescent="0.35">
      <c r="A29" s="159" t="s">
        <v>24</v>
      </c>
      <c r="B29" s="144" t="s">
        <v>425</v>
      </c>
      <c r="C29" s="198">
        <v>47744</v>
      </c>
      <c r="D29" s="145"/>
      <c r="E29" s="198">
        <v>47744</v>
      </c>
      <c r="F29" s="198">
        <f t="shared" si="0"/>
        <v>47744</v>
      </c>
      <c r="G29" s="198">
        <f t="shared" si="1"/>
        <v>0</v>
      </c>
      <c r="H29" s="201"/>
      <c r="I29" s="201"/>
      <c r="J29" s="201"/>
      <c r="K29" s="201"/>
      <c r="L29" s="201"/>
      <c r="M29" s="201">
        <v>35837</v>
      </c>
      <c r="N29" s="201"/>
      <c r="O29" s="201"/>
      <c r="P29" s="201"/>
      <c r="Q29" s="201"/>
      <c r="R29" s="201"/>
      <c r="S29" s="201">
        <v>11531</v>
      </c>
      <c r="T29" s="201"/>
      <c r="U29" s="201"/>
      <c r="V29" s="201"/>
      <c r="W29" s="201">
        <v>376</v>
      </c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</row>
    <row r="30" spans="1:48" s="4" customFormat="1" ht="18" customHeight="1" thickBot="1" x14ac:dyDescent="0.35">
      <c r="A30" s="159" t="s">
        <v>25</v>
      </c>
      <c r="B30" s="144" t="s">
        <v>427</v>
      </c>
      <c r="C30" s="198">
        <v>9796</v>
      </c>
      <c r="D30" s="145"/>
      <c r="E30" s="198">
        <v>9796</v>
      </c>
      <c r="F30" s="198">
        <f t="shared" si="0"/>
        <v>9796</v>
      </c>
      <c r="G30" s="198">
        <f t="shared" si="1"/>
        <v>0</v>
      </c>
      <c r="H30" s="201"/>
      <c r="I30" s="201"/>
      <c r="J30" s="201"/>
      <c r="K30" s="201"/>
      <c r="L30" s="201"/>
      <c r="M30" s="201"/>
      <c r="N30" s="201"/>
      <c r="O30" s="201"/>
      <c r="P30" s="201">
        <v>9796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</row>
    <row r="31" spans="1:48" s="4" customFormat="1" ht="18" customHeight="1" thickBot="1" x14ac:dyDescent="0.35">
      <c r="A31" s="159" t="s">
        <v>26</v>
      </c>
      <c r="B31" s="144" t="s">
        <v>428</v>
      </c>
      <c r="C31" s="198">
        <v>118705</v>
      </c>
      <c r="D31" s="145"/>
      <c r="E31" s="198">
        <v>118705</v>
      </c>
      <c r="F31" s="198">
        <f t="shared" si="0"/>
        <v>118705</v>
      </c>
      <c r="G31" s="198">
        <f t="shared" si="1"/>
        <v>0</v>
      </c>
      <c r="H31" s="201"/>
      <c r="I31" s="201"/>
      <c r="J31" s="201"/>
      <c r="K31" s="201"/>
      <c r="L31" s="201"/>
      <c r="M31" s="201">
        <v>35103</v>
      </c>
      <c r="N31" s="201"/>
      <c r="O31" s="201"/>
      <c r="P31" s="201">
        <v>18812</v>
      </c>
      <c r="Q31" s="201"/>
      <c r="R31" s="201">
        <v>17552</v>
      </c>
      <c r="S31" s="201">
        <v>15090</v>
      </c>
      <c r="T31" s="201"/>
      <c r="U31" s="201"/>
      <c r="V31" s="201"/>
      <c r="W31" s="201"/>
      <c r="X31" s="201"/>
      <c r="Y31" s="201"/>
      <c r="Z31" s="201"/>
      <c r="AA31" s="201"/>
      <c r="AB31" s="201">
        <f>8918.79+23229.21</f>
        <v>32148</v>
      </c>
      <c r="AC31" s="201"/>
      <c r="AD31" s="201"/>
      <c r="AE31" s="201"/>
      <c r="AF31" s="201"/>
      <c r="AG31" s="201"/>
      <c r="AH31" s="201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</row>
    <row r="32" spans="1:48" s="4" customFormat="1" ht="18" customHeight="1" thickBot="1" x14ac:dyDescent="0.35">
      <c r="A32" s="159" t="s">
        <v>27</v>
      </c>
      <c r="B32" s="144" t="s">
        <v>429</v>
      </c>
      <c r="C32" s="198">
        <v>15574</v>
      </c>
      <c r="D32" s="145"/>
      <c r="E32" s="198">
        <v>15574</v>
      </c>
      <c r="F32" s="198">
        <f t="shared" si="0"/>
        <v>15574</v>
      </c>
      <c r="G32" s="198">
        <f t="shared" si="1"/>
        <v>0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>
        <v>15456</v>
      </c>
      <c r="R32" s="201"/>
      <c r="S32" s="201">
        <v>118</v>
      </c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</row>
    <row r="33" spans="1:48" s="4" customFormat="1" ht="18" customHeight="1" thickBot="1" x14ac:dyDescent="0.35">
      <c r="A33" s="159" t="s">
        <v>28</v>
      </c>
      <c r="B33" s="144" t="s">
        <v>206</v>
      </c>
      <c r="C33" s="198">
        <v>0</v>
      </c>
      <c r="D33" s="145"/>
      <c r="E33" s="198"/>
      <c r="F33" s="198">
        <f t="shared" si="0"/>
        <v>0</v>
      </c>
      <c r="G33" s="198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</row>
    <row r="34" spans="1:48" s="4" customFormat="1" ht="18" customHeight="1" thickBot="1" x14ac:dyDescent="0.35">
      <c r="A34" s="159" t="s">
        <v>29</v>
      </c>
      <c r="B34" s="144" t="s">
        <v>431</v>
      </c>
      <c r="C34" s="198">
        <v>531665</v>
      </c>
      <c r="D34" s="145"/>
      <c r="E34" s="198">
        <v>531665</v>
      </c>
      <c r="F34" s="198">
        <f t="shared" si="0"/>
        <v>531665</v>
      </c>
      <c r="G34" s="198">
        <f t="shared" si="1"/>
        <v>0</v>
      </c>
      <c r="H34" s="201"/>
      <c r="I34" s="201"/>
      <c r="J34" s="201"/>
      <c r="K34" s="201"/>
      <c r="L34" s="201"/>
      <c r="M34" s="201"/>
      <c r="N34" s="201">
        <v>138458</v>
      </c>
      <c r="O34" s="201"/>
      <c r="P34" s="201"/>
      <c r="Q34" s="201"/>
      <c r="R34" s="201">
        <v>341684</v>
      </c>
      <c r="S34" s="201">
        <v>7458</v>
      </c>
      <c r="T34" s="201"/>
      <c r="U34" s="201"/>
      <c r="V34" s="201"/>
      <c r="W34" s="201"/>
      <c r="X34" s="201"/>
      <c r="Y34" s="201">
        <v>44065</v>
      </c>
      <c r="Z34" s="201"/>
      <c r="AA34" s="201"/>
      <c r="AB34" s="201"/>
      <c r="AC34" s="201"/>
      <c r="AD34" s="201"/>
      <c r="AE34" s="201"/>
      <c r="AF34" s="201"/>
      <c r="AG34" s="201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</row>
    <row r="35" spans="1:48" s="4" customFormat="1" ht="18" customHeight="1" thickBot="1" x14ac:dyDescent="0.35">
      <c r="A35" s="159" t="s">
        <v>30</v>
      </c>
      <c r="B35" s="144" t="s">
        <v>433</v>
      </c>
      <c r="C35" s="198">
        <v>38943</v>
      </c>
      <c r="D35" s="145"/>
      <c r="E35" s="198">
        <v>38943</v>
      </c>
      <c r="F35" s="198">
        <f t="shared" si="0"/>
        <v>38943</v>
      </c>
      <c r="G35" s="198">
        <f t="shared" si="1"/>
        <v>0</v>
      </c>
      <c r="H35" s="201"/>
      <c r="I35" s="201"/>
      <c r="J35" s="201"/>
      <c r="K35" s="201"/>
      <c r="L35" s="201"/>
      <c r="M35" s="201"/>
      <c r="N35" s="201"/>
      <c r="O35" s="201"/>
      <c r="P35" s="201">
        <v>18498</v>
      </c>
      <c r="Q35" s="201"/>
      <c r="R35" s="201"/>
      <c r="S35" s="201">
        <v>20443</v>
      </c>
      <c r="T35" s="201"/>
      <c r="U35" s="201"/>
      <c r="V35" s="201"/>
      <c r="W35" s="201"/>
      <c r="X35" s="201"/>
      <c r="Y35" s="201">
        <v>2</v>
      </c>
      <c r="Z35" s="201"/>
      <c r="AA35" s="201"/>
      <c r="AB35" s="201"/>
      <c r="AC35" s="201"/>
      <c r="AD35" s="201"/>
      <c r="AE35" s="201"/>
      <c r="AF35" s="201"/>
      <c r="AG35" s="201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</row>
    <row r="36" spans="1:48" s="4" customFormat="1" ht="18" customHeight="1" thickBot="1" x14ac:dyDescent="0.35">
      <c r="A36" s="159" t="s">
        <v>31</v>
      </c>
      <c r="B36" s="144" t="s">
        <v>209</v>
      </c>
      <c r="C36" s="198">
        <v>3126682</v>
      </c>
      <c r="D36" s="145"/>
      <c r="E36" s="198">
        <v>3126682</v>
      </c>
      <c r="F36" s="198">
        <f t="shared" si="0"/>
        <v>3126682</v>
      </c>
      <c r="G36" s="198">
        <f t="shared" si="1"/>
        <v>0</v>
      </c>
      <c r="H36" s="201"/>
      <c r="I36" s="201"/>
      <c r="J36" s="201"/>
      <c r="K36" s="201"/>
      <c r="L36" s="201"/>
      <c r="M36" s="201">
        <v>497576</v>
      </c>
      <c r="N36" s="201"/>
      <c r="O36" s="201"/>
      <c r="P36" s="201">
        <v>447403</v>
      </c>
      <c r="Q36" s="201"/>
      <c r="R36" s="201">
        <v>529596</v>
      </c>
      <c r="S36" s="201">
        <v>300932</v>
      </c>
      <c r="T36" s="201"/>
      <c r="U36" s="201"/>
      <c r="V36" s="201"/>
      <c r="W36" s="201">
        <v>1055889.6299999999</v>
      </c>
      <c r="X36" s="201"/>
      <c r="Y36" s="201"/>
      <c r="Z36" s="201">
        <v>295285.37</v>
      </c>
      <c r="AA36" s="201"/>
      <c r="AB36" s="201"/>
      <c r="AC36" s="201"/>
      <c r="AD36" s="201"/>
      <c r="AE36" s="201"/>
      <c r="AF36" s="201"/>
      <c r="AG36" s="201"/>
      <c r="AH36" s="201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</row>
    <row r="37" spans="1:48" s="4" customFormat="1" ht="18" customHeight="1" thickBot="1" x14ac:dyDescent="0.35">
      <c r="A37" s="159" t="s">
        <v>32</v>
      </c>
      <c r="B37" s="144" t="s">
        <v>210</v>
      </c>
      <c r="C37" s="198">
        <v>1915350</v>
      </c>
      <c r="D37" s="145"/>
      <c r="E37" s="198">
        <v>1915350</v>
      </c>
      <c r="F37" s="198">
        <f t="shared" si="0"/>
        <v>1915350</v>
      </c>
      <c r="G37" s="198">
        <f t="shared" si="1"/>
        <v>0</v>
      </c>
      <c r="H37" s="201"/>
      <c r="I37" s="201"/>
      <c r="J37" s="201"/>
      <c r="K37" s="201"/>
      <c r="L37" s="201">
        <v>146206</v>
      </c>
      <c r="M37" s="201">
        <v>161058</v>
      </c>
      <c r="N37" s="201">
        <v>203446</v>
      </c>
      <c r="O37" s="201">
        <v>201554</v>
      </c>
      <c r="P37" s="201"/>
      <c r="Q37" s="201">
        <f>112702+152697</f>
        <v>265399</v>
      </c>
      <c r="R37" s="201">
        <v>164137</v>
      </c>
      <c r="S37" s="201">
        <v>292373</v>
      </c>
      <c r="T37" s="201"/>
      <c r="U37" s="201">
        <v>141609</v>
      </c>
      <c r="V37" s="201">
        <v>129296</v>
      </c>
      <c r="W37" s="201"/>
      <c r="X37" s="201">
        <v>160306.19</v>
      </c>
      <c r="Y37" s="201">
        <v>49965.81</v>
      </c>
      <c r="Z37" s="201"/>
      <c r="AA37" s="201"/>
      <c r="AB37" s="201"/>
      <c r="AC37" s="201"/>
      <c r="AD37" s="201"/>
      <c r="AE37" s="201"/>
      <c r="AF37" s="201"/>
      <c r="AG37" s="201"/>
      <c r="AH37" s="201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</row>
    <row r="38" spans="1:48" s="4" customFormat="1" ht="18" customHeight="1" thickBot="1" x14ac:dyDescent="0.35">
      <c r="A38" s="159" t="s">
        <v>33</v>
      </c>
      <c r="B38" s="144" t="s">
        <v>211</v>
      </c>
      <c r="C38" s="198">
        <v>168559</v>
      </c>
      <c r="D38" s="145"/>
      <c r="E38" s="198">
        <v>168559</v>
      </c>
      <c r="F38" s="198">
        <f t="shared" si="0"/>
        <v>168559</v>
      </c>
      <c r="G38" s="198">
        <f t="shared" si="1"/>
        <v>0</v>
      </c>
      <c r="H38" s="201"/>
      <c r="I38" s="201"/>
      <c r="J38" s="201"/>
      <c r="K38" s="201"/>
      <c r="L38" s="201"/>
      <c r="M38" s="201">
        <v>81788</v>
      </c>
      <c r="N38" s="201"/>
      <c r="O38" s="201"/>
      <c r="P38" s="201"/>
      <c r="Q38" s="201"/>
      <c r="R38" s="201"/>
      <c r="S38" s="201">
        <v>84269</v>
      </c>
      <c r="T38" s="201"/>
      <c r="U38" s="201"/>
      <c r="V38" s="201"/>
      <c r="W38" s="201"/>
      <c r="X38" s="201"/>
      <c r="Y38" s="201">
        <v>2502</v>
      </c>
      <c r="Z38" s="201"/>
      <c r="AA38" s="201"/>
      <c r="AB38" s="201"/>
      <c r="AC38" s="201"/>
      <c r="AD38" s="201"/>
      <c r="AE38" s="201"/>
      <c r="AF38" s="201"/>
      <c r="AG38" s="201"/>
      <c r="AH38" s="201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</row>
    <row r="39" spans="1:48" s="4" customFormat="1" ht="18" customHeight="1" thickBot="1" x14ac:dyDescent="0.35">
      <c r="A39" s="159" t="s">
        <v>34</v>
      </c>
      <c r="B39" s="144" t="s">
        <v>212</v>
      </c>
      <c r="C39" s="198">
        <v>149508</v>
      </c>
      <c r="D39" s="145"/>
      <c r="E39" s="198">
        <v>149508</v>
      </c>
      <c r="F39" s="198">
        <f t="shared" si="0"/>
        <v>149508</v>
      </c>
      <c r="G39" s="198">
        <f t="shared" si="1"/>
        <v>0</v>
      </c>
      <c r="H39" s="201"/>
      <c r="I39" s="201"/>
      <c r="J39" s="201"/>
      <c r="K39" s="201"/>
      <c r="L39" s="201">
        <f>14849+14949</f>
        <v>29798</v>
      </c>
      <c r="M39" s="201">
        <v>14949</v>
      </c>
      <c r="N39" s="201"/>
      <c r="O39" s="201"/>
      <c r="P39" s="201">
        <v>14949</v>
      </c>
      <c r="Q39" s="201">
        <v>14948</v>
      </c>
      <c r="R39" s="201">
        <f>14949+14949+14949</f>
        <v>44847</v>
      </c>
      <c r="S39" s="201">
        <v>14949</v>
      </c>
      <c r="T39" s="201">
        <v>15049</v>
      </c>
      <c r="U39" s="201"/>
      <c r="V39" s="201"/>
      <c r="W39" s="201"/>
      <c r="X39" s="201">
        <v>19</v>
      </c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</row>
    <row r="40" spans="1:48" s="4" customFormat="1" ht="18" customHeight="1" thickBot="1" x14ac:dyDescent="0.35">
      <c r="A40" s="159" t="s">
        <v>35</v>
      </c>
      <c r="B40" s="144" t="s">
        <v>213</v>
      </c>
      <c r="C40" s="198">
        <v>13654</v>
      </c>
      <c r="D40" s="145">
        <v>9025</v>
      </c>
      <c r="E40" s="198">
        <v>0</v>
      </c>
      <c r="F40" s="198">
        <f t="shared" si="0"/>
        <v>0</v>
      </c>
      <c r="G40" s="198">
        <f t="shared" si="1"/>
        <v>0</v>
      </c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</row>
    <row r="41" spans="1:48" s="4" customFormat="1" ht="18" customHeight="1" thickBot="1" x14ac:dyDescent="0.35">
      <c r="A41" s="159" t="s">
        <v>36</v>
      </c>
      <c r="B41" s="144" t="s">
        <v>439</v>
      </c>
      <c r="C41" s="198">
        <v>49676</v>
      </c>
      <c r="D41" s="145">
        <v>9025</v>
      </c>
      <c r="E41" s="198">
        <v>0</v>
      </c>
      <c r="F41" s="198">
        <f t="shared" si="0"/>
        <v>0</v>
      </c>
      <c r="G41" s="198">
        <f t="shared" si="1"/>
        <v>0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</row>
    <row r="42" spans="1:48" s="4" customFormat="1" ht="18" customHeight="1" thickBot="1" x14ac:dyDescent="0.35">
      <c r="A42" s="159" t="s">
        <v>37</v>
      </c>
      <c r="B42" s="144" t="s">
        <v>440</v>
      </c>
      <c r="C42" s="198">
        <v>97711</v>
      </c>
      <c r="D42" s="145"/>
      <c r="E42" s="198">
        <v>97711</v>
      </c>
      <c r="F42" s="198">
        <f t="shared" si="0"/>
        <v>97711</v>
      </c>
      <c r="G42" s="198">
        <f t="shared" si="1"/>
        <v>0</v>
      </c>
      <c r="H42" s="201"/>
      <c r="I42" s="201"/>
      <c r="J42" s="201"/>
      <c r="K42" s="201"/>
      <c r="L42" s="201"/>
      <c r="M42" s="201"/>
      <c r="N42" s="201"/>
      <c r="O42" s="201">
        <v>38369</v>
      </c>
      <c r="P42" s="201"/>
      <c r="Q42" s="201"/>
      <c r="R42" s="201">
        <v>34410</v>
      </c>
      <c r="S42" s="201"/>
      <c r="T42" s="201"/>
      <c r="U42" s="201">
        <v>24932</v>
      </c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</row>
    <row r="43" spans="1:48" s="4" customFormat="1" ht="18" customHeight="1" thickBot="1" x14ac:dyDescent="0.35">
      <c r="A43" s="159" t="s">
        <v>38</v>
      </c>
      <c r="B43" s="144" t="s">
        <v>442</v>
      </c>
      <c r="C43" s="198">
        <v>301548</v>
      </c>
      <c r="D43" s="145"/>
      <c r="E43" s="198">
        <v>301548</v>
      </c>
      <c r="F43" s="198">
        <f t="shared" si="0"/>
        <v>301548</v>
      </c>
      <c r="G43" s="198">
        <f t="shared" si="1"/>
        <v>0</v>
      </c>
      <c r="H43" s="201"/>
      <c r="I43" s="201"/>
      <c r="J43" s="201"/>
      <c r="K43" s="201"/>
      <c r="L43" s="201">
        <v>42094</v>
      </c>
      <c r="M43" s="201">
        <v>47787</v>
      </c>
      <c r="N43" s="201"/>
      <c r="O43" s="201">
        <v>47130</v>
      </c>
      <c r="P43" s="201">
        <v>23568</v>
      </c>
      <c r="Q43" s="201">
        <v>23568</v>
      </c>
      <c r="R43" s="201">
        <v>24242</v>
      </c>
      <c r="S43" s="201">
        <v>16520</v>
      </c>
      <c r="T43" s="201">
        <v>23207</v>
      </c>
      <c r="U43" s="201"/>
      <c r="V43" s="201">
        <v>53432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</row>
    <row r="44" spans="1:48" s="4" customFormat="1" ht="18" customHeight="1" thickBot="1" x14ac:dyDescent="0.35">
      <c r="A44" s="159" t="s">
        <v>39</v>
      </c>
      <c r="B44" s="144" t="s">
        <v>217</v>
      </c>
      <c r="C44" s="198">
        <v>75540</v>
      </c>
      <c r="D44" s="145"/>
      <c r="E44" s="198">
        <v>75540</v>
      </c>
      <c r="F44" s="198">
        <f t="shared" si="0"/>
        <v>75540</v>
      </c>
      <c r="G44" s="198">
        <f t="shared" si="1"/>
        <v>0</v>
      </c>
      <c r="H44" s="201"/>
      <c r="I44" s="201"/>
      <c r="J44" s="201"/>
      <c r="K44" s="201"/>
      <c r="L44" s="201"/>
      <c r="M44" s="201"/>
      <c r="N44" s="201">
        <v>26629</v>
      </c>
      <c r="O44" s="201"/>
      <c r="P44" s="201"/>
      <c r="Q44" s="201"/>
      <c r="R44" s="201"/>
      <c r="S44" s="201">
        <v>48690</v>
      </c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2"/>
      <c r="AJ44" s="202">
        <v>221</v>
      </c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</row>
    <row r="45" spans="1:48" s="4" customFormat="1" ht="18" customHeight="1" thickBot="1" x14ac:dyDescent="0.35">
      <c r="A45" s="159" t="s">
        <v>40</v>
      </c>
      <c r="B45" s="144" t="s">
        <v>444</v>
      </c>
      <c r="C45" s="198">
        <v>146465</v>
      </c>
      <c r="D45" s="145"/>
      <c r="E45" s="198">
        <v>146465</v>
      </c>
      <c r="F45" s="198">
        <f t="shared" si="0"/>
        <v>146465</v>
      </c>
      <c r="G45" s="198">
        <f t="shared" si="1"/>
        <v>0</v>
      </c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>
        <v>95716</v>
      </c>
      <c r="T45" s="201"/>
      <c r="U45" s="201"/>
      <c r="V45" s="201"/>
      <c r="W45" s="201"/>
      <c r="X45" s="201">
        <v>30292</v>
      </c>
      <c r="Y45" s="201">
        <v>20457</v>
      </c>
      <c r="Z45" s="201"/>
      <c r="AA45" s="201"/>
      <c r="AB45" s="201"/>
      <c r="AC45" s="201"/>
      <c r="AD45" s="201"/>
      <c r="AE45" s="201"/>
      <c r="AF45" s="201"/>
      <c r="AG45" s="201"/>
      <c r="AH45" s="201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</row>
    <row r="46" spans="1:48" s="4" customFormat="1" ht="18" customHeight="1" thickBot="1" x14ac:dyDescent="0.35">
      <c r="A46" s="159" t="s">
        <v>41</v>
      </c>
      <c r="B46" s="144" t="s">
        <v>219</v>
      </c>
      <c r="C46" s="198">
        <v>160468</v>
      </c>
      <c r="D46" s="145"/>
      <c r="E46" s="198">
        <v>160468</v>
      </c>
      <c r="F46" s="198">
        <f t="shared" si="0"/>
        <v>160468</v>
      </c>
      <c r="G46" s="198">
        <f t="shared" si="1"/>
        <v>0</v>
      </c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>
        <v>160468</v>
      </c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</row>
    <row r="47" spans="1:48" s="4" customFormat="1" ht="18" customHeight="1" thickBot="1" x14ac:dyDescent="0.35">
      <c r="A47" s="159" t="s">
        <v>42</v>
      </c>
      <c r="B47" s="144" t="s">
        <v>220</v>
      </c>
      <c r="C47" s="198">
        <v>170989</v>
      </c>
      <c r="D47" s="145"/>
      <c r="E47" s="198">
        <v>170989</v>
      </c>
      <c r="F47" s="198">
        <f t="shared" si="0"/>
        <v>170989</v>
      </c>
      <c r="G47" s="198">
        <f t="shared" si="1"/>
        <v>0</v>
      </c>
      <c r="H47" s="201"/>
      <c r="I47" s="201"/>
      <c r="J47" s="201"/>
      <c r="K47" s="201"/>
      <c r="L47" s="201"/>
      <c r="M47" s="201"/>
      <c r="N47" s="201"/>
      <c r="O47" s="201"/>
      <c r="P47" s="201">
        <v>104162</v>
      </c>
      <c r="Q47" s="201"/>
      <c r="R47" s="201"/>
      <c r="S47" s="274">
        <v>66827</v>
      </c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</row>
    <row r="48" spans="1:48" s="4" customFormat="1" ht="18" customHeight="1" thickBot="1" x14ac:dyDescent="0.35">
      <c r="A48" s="159" t="s">
        <v>43</v>
      </c>
      <c r="B48" s="144" t="s">
        <v>446</v>
      </c>
      <c r="C48" s="198">
        <v>235853</v>
      </c>
      <c r="D48" s="145"/>
      <c r="E48" s="198">
        <v>235853</v>
      </c>
      <c r="F48" s="198">
        <f t="shared" si="0"/>
        <v>235853</v>
      </c>
      <c r="G48" s="198">
        <f t="shared" si="1"/>
        <v>0</v>
      </c>
      <c r="H48" s="201"/>
      <c r="I48" s="201"/>
      <c r="J48" s="201"/>
      <c r="K48" s="201"/>
      <c r="L48" s="201"/>
      <c r="M48" s="201"/>
      <c r="N48" s="201"/>
      <c r="O48" s="201">
        <v>104940</v>
      </c>
      <c r="P48" s="201"/>
      <c r="Q48" s="201"/>
      <c r="R48" s="201"/>
      <c r="S48" s="201">
        <v>72405</v>
      </c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>
        <v>58507</v>
      </c>
      <c r="AF48" s="201"/>
      <c r="AG48" s="201"/>
      <c r="AH48" s="201"/>
      <c r="AI48" s="202"/>
      <c r="AJ48" s="202">
        <v>1</v>
      </c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</row>
    <row r="49" spans="1:48" s="4" customFormat="1" ht="18" customHeight="1" thickBot="1" x14ac:dyDescent="0.35">
      <c r="A49" s="159" t="s">
        <v>44</v>
      </c>
      <c r="B49" s="144" t="s">
        <v>448</v>
      </c>
      <c r="C49" s="198">
        <v>122337</v>
      </c>
      <c r="D49" s="145"/>
      <c r="E49" s="198">
        <v>122337</v>
      </c>
      <c r="F49" s="198">
        <f t="shared" si="0"/>
        <v>122337</v>
      </c>
      <c r="G49" s="198">
        <f t="shared" si="1"/>
        <v>0</v>
      </c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>
        <v>122337</v>
      </c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</row>
    <row r="50" spans="1:48" s="4" customFormat="1" ht="18" customHeight="1" thickBot="1" x14ac:dyDescent="0.35">
      <c r="A50" s="159" t="s">
        <v>45</v>
      </c>
      <c r="B50" s="144" t="s">
        <v>223</v>
      </c>
      <c r="C50" s="198">
        <v>988148</v>
      </c>
      <c r="D50" s="145"/>
      <c r="E50" s="198">
        <v>988148</v>
      </c>
      <c r="F50" s="198">
        <f t="shared" si="0"/>
        <v>988148</v>
      </c>
      <c r="G50" s="198">
        <f t="shared" si="1"/>
        <v>0</v>
      </c>
      <c r="H50" s="201"/>
      <c r="I50" s="201"/>
      <c r="J50" s="201"/>
      <c r="K50" s="201"/>
      <c r="L50" s="201"/>
      <c r="M50" s="201">
        <v>179920</v>
      </c>
      <c r="N50" s="201"/>
      <c r="O50" s="201">
        <v>144162</v>
      </c>
      <c r="P50" s="201">
        <v>80802</v>
      </c>
      <c r="Q50" s="201">
        <v>396</v>
      </c>
      <c r="R50" s="201">
        <v>85570</v>
      </c>
      <c r="S50" s="201">
        <v>92685</v>
      </c>
      <c r="T50" s="201">
        <v>172036</v>
      </c>
      <c r="U50" s="201"/>
      <c r="V50" s="201"/>
      <c r="W50" s="201">
        <v>178925</v>
      </c>
      <c r="X50" s="201"/>
      <c r="Y50" s="201"/>
      <c r="Z50" s="201"/>
      <c r="AA50" s="201"/>
      <c r="AB50" s="201"/>
      <c r="AC50" s="201">
        <v>53652</v>
      </c>
      <c r="AD50" s="201"/>
      <c r="AE50" s="201"/>
      <c r="AF50" s="201"/>
      <c r="AG50" s="201"/>
      <c r="AH50" s="201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</row>
    <row r="51" spans="1:48" s="4" customFormat="1" ht="18" customHeight="1" thickBot="1" x14ac:dyDescent="0.35">
      <c r="A51" s="159" t="s">
        <v>46</v>
      </c>
      <c r="B51" s="144" t="s">
        <v>224</v>
      </c>
      <c r="C51" s="198">
        <v>29111775</v>
      </c>
      <c r="D51" s="145"/>
      <c r="E51" s="198">
        <v>29111775</v>
      </c>
      <c r="F51" s="198">
        <f t="shared" si="0"/>
        <v>29111775</v>
      </c>
      <c r="G51" s="198">
        <f t="shared" si="1"/>
        <v>0</v>
      </c>
      <c r="H51" s="201"/>
      <c r="I51" s="201"/>
      <c r="J51" s="201"/>
      <c r="K51" s="201"/>
      <c r="L51" s="201"/>
      <c r="M51" s="201"/>
      <c r="N51" s="201">
        <f>806582+2669642</f>
        <v>3476224</v>
      </c>
      <c r="O51" s="201">
        <v>2064102</v>
      </c>
      <c r="P51" s="201"/>
      <c r="Q51" s="201">
        <f>2807414+3646810</f>
        <v>6454224</v>
      </c>
      <c r="R51" s="201">
        <v>2078441</v>
      </c>
      <c r="S51" s="201"/>
      <c r="T51" s="201">
        <v>8526582</v>
      </c>
      <c r="U51" s="201"/>
      <c r="V51" s="201"/>
      <c r="W51" s="201"/>
      <c r="X51" s="201">
        <v>3719080.93</v>
      </c>
      <c r="Y51" s="201"/>
      <c r="Z51" s="201">
        <v>2793121.07</v>
      </c>
      <c r="AA51" s="201"/>
      <c r="AB51" s="201"/>
      <c r="AC51" s="201"/>
      <c r="AD51" s="201"/>
      <c r="AE51" s="201"/>
      <c r="AF51" s="201"/>
      <c r="AG51" s="201"/>
      <c r="AH51" s="201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</row>
    <row r="52" spans="1:48" s="4" customFormat="1" ht="18" customHeight="1" thickBot="1" x14ac:dyDescent="0.35">
      <c r="A52" s="159" t="s">
        <v>47</v>
      </c>
      <c r="B52" s="144" t="s">
        <v>622</v>
      </c>
      <c r="C52" s="198">
        <v>52440</v>
      </c>
      <c r="D52" s="145"/>
      <c r="E52" s="198">
        <v>52440</v>
      </c>
      <c r="F52" s="198">
        <f t="shared" si="0"/>
        <v>52440</v>
      </c>
      <c r="G52" s="198">
        <f t="shared" si="1"/>
        <v>0</v>
      </c>
      <c r="H52" s="201"/>
      <c r="I52" s="201"/>
      <c r="J52" s="201"/>
      <c r="K52" s="201"/>
      <c r="L52" s="201"/>
      <c r="M52" s="201"/>
      <c r="N52" s="201">
        <v>21600</v>
      </c>
      <c r="O52" s="201"/>
      <c r="P52" s="201"/>
      <c r="Q52" s="201"/>
      <c r="R52" s="201"/>
      <c r="S52" s="201">
        <v>19136</v>
      </c>
      <c r="T52" s="201">
        <v>11704</v>
      </c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</row>
    <row r="53" spans="1:48" s="4" customFormat="1" ht="18" customHeight="1" thickBot="1" x14ac:dyDescent="0.35">
      <c r="A53" s="159" t="s">
        <v>48</v>
      </c>
      <c r="B53" s="144" t="s">
        <v>454</v>
      </c>
      <c r="C53" s="198">
        <v>1610912</v>
      </c>
      <c r="D53" s="145"/>
      <c r="E53" s="198">
        <v>1610912</v>
      </c>
      <c r="F53" s="198">
        <f t="shared" si="0"/>
        <v>1610912</v>
      </c>
      <c r="G53" s="198">
        <f t="shared" si="1"/>
        <v>0</v>
      </c>
      <c r="H53" s="201"/>
      <c r="I53" s="201"/>
      <c r="J53" s="201"/>
      <c r="K53" s="201"/>
      <c r="L53" s="201">
        <f>191081+99347+103838</f>
        <v>394266</v>
      </c>
      <c r="M53" s="201">
        <v>135793</v>
      </c>
      <c r="N53" s="201">
        <v>135302</v>
      </c>
      <c r="O53" s="201">
        <v>147813</v>
      </c>
      <c r="P53" s="201">
        <v>138640</v>
      </c>
      <c r="Q53" s="201">
        <v>136487</v>
      </c>
      <c r="R53" s="201">
        <v>135574</v>
      </c>
      <c r="S53" s="201">
        <v>130554</v>
      </c>
      <c r="T53" s="201">
        <v>198884</v>
      </c>
      <c r="U53" s="201"/>
      <c r="V53" s="201"/>
      <c r="W53" s="201">
        <f>33070.68+24528.32</f>
        <v>57599</v>
      </c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</row>
    <row r="54" spans="1:48" s="4" customFormat="1" ht="18" customHeight="1" thickBot="1" x14ac:dyDescent="0.35">
      <c r="A54" s="159" t="s">
        <v>49</v>
      </c>
      <c r="B54" s="144" t="s">
        <v>227</v>
      </c>
      <c r="C54" s="198">
        <v>649853</v>
      </c>
      <c r="D54" s="145"/>
      <c r="E54" s="198">
        <v>649853</v>
      </c>
      <c r="F54" s="198">
        <f t="shared" si="0"/>
        <v>649853</v>
      </c>
      <c r="G54" s="198">
        <f t="shared" si="1"/>
        <v>0</v>
      </c>
      <c r="H54" s="201"/>
      <c r="I54" s="201"/>
      <c r="J54" s="201"/>
      <c r="K54" s="201"/>
      <c r="L54" s="201"/>
      <c r="M54" s="201"/>
      <c r="N54" s="201">
        <v>168658</v>
      </c>
      <c r="O54" s="201">
        <v>71214</v>
      </c>
      <c r="P54" s="201"/>
      <c r="Q54" s="201"/>
      <c r="R54" s="201">
        <v>235212</v>
      </c>
      <c r="S54" s="201">
        <v>92291</v>
      </c>
      <c r="T54" s="201"/>
      <c r="U54" s="201"/>
      <c r="V54" s="201">
        <v>82478</v>
      </c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</row>
    <row r="55" spans="1:48" s="4" customFormat="1" ht="18" customHeight="1" thickBot="1" x14ac:dyDescent="0.35">
      <c r="A55" s="159" t="s">
        <v>50</v>
      </c>
      <c r="B55" s="144" t="s">
        <v>228</v>
      </c>
      <c r="C55" s="198">
        <v>149903</v>
      </c>
      <c r="D55" s="145"/>
      <c r="E55" s="198">
        <v>149903</v>
      </c>
      <c r="F55" s="198">
        <f t="shared" si="0"/>
        <v>149903</v>
      </c>
      <c r="G55" s="198">
        <f t="shared" si="1"/>
        <v>0</v>
      </c>
      <c r="H55" s="201"/>
      <c r="I55" s="201"/>
      <c r="J55" s="201"/>
      <c r="K55" s="201"/>
      <c r="L55" s="201"/>
      <c r="M55" s="201"/>
      <c r="N55" s="201"/>
      <c r="O55" s="201">
        <v>53329</v>
      </c>
      <c r="P55" s="201"/>
      <c r="Q55" s="201">
        <v>30561</v>
      </c>
      <c r="R55" s="201"/>
      <c r="S55" s="201">
        <f>21913+38868</f>
        <v>60781</v>
      </c>
      <c r="T55" s="201"/>
      <c r="U55" s="201"/>
      <c r="V55" s="201"/>
      <c r="W55" s="201"/>
      <c r="X55" s="201"/>
      <c r="Y55" s="201"/>
      <c r="Z55" s="201"/>
      <c r="AA55" s="201">
        <v>5232</v>
      </c>
      <c r="AB55" s="201"/>
      <c r="AC55" s="201"/>
      <c r="AD55" s="201"/>
      <c r="AE55" s="201"/>
      <c r="AF55" s="201"/>
      <c r="AG55" s="201"/>
      <c r="AH55" s="201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</row>
    <row r="56" spans="1:48" s="4" customFormat="1" ht="18" customHeight="1" thickBot="1" x14ac:dyDescent="0.35">
      <c r="A56" s="159" t="s">
        <v>51</v>
      </c>
      <c r="B56" s="144" t="s">
        <v>229</v>
      </c>
      <c r="C56" s="198">
        <v>33114</v>
      </c>
      <c r="D56" s="145">
        <v>9025</v>
      </c>
      <c r="E56" s="198">
        <v>0</v>
      </c>
      <c r="F56" s="198">
        <f t="shared" si="0"/>
        <v>0</v>
      </c>
      <c r="G56" s="198">
        <f t="shared" si="1"/>
        <v>0</v>
      </c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</row>
    <row r="57" spans="1:48" s="4" customFormat="1" ht="18" customHeight="1" thickBot="1" x14ac:dyDescent="0.35">
      <c r="A57" s="159" t="s">
        <v>52</v>
      </c>
      <c r="B57" s="144" t="s">
        <v>230</v>
      </c>
      <c r="C57" s="198">
        <v>38627</v>
      </c>
      <c r="D57" s="145"/>
      <c r="E57" s="198">
        <v>38627</v>
      </c>
      <c r="F57" s="198">
        <f t="shared" si="0"/>
        <v>38627</v>
      </c>
      <c r="G57" s="198">
        <f t="shared" si="1"/>
        <v>0</v>
      </c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>
        <v>38627</v>
      </c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</row>
    <row r="58" spans="1:48" s="4" customFormat="1" ht="18" customHeight="1" thickBot="1" x14ac:dyDescent="0.35">
      <c r="A58" s="159" t="s">
        <v>53</v>
      </c>
      <c r="B58" s="144" t="s">
        <v>231</v>
      </c>
      <c r="C58" s="198">
        <v>21843</v>
      </c>
      <c r="D58" s="145"/>
      <c r="E58" s="198">
        <v>21843</v>
      </c>
      <c r="F58" s="198">
        <f t="shared" si="0"/>
        <v>21843</v>
      </c>
      <c r="G58" s="198">
        <f t="shared" si="1"/>
        <v>0</v>
      </c>
      <c r="H58" s="201"/>
      <c r="I58" s="201"/>
      <c r="J58" s="201"/>
      <c r="K58" s="201"/>
      <c r="L58" s="201"/>
      <c r="M58" s="201"/>
      <c r="N58" s="201">
        <v>10525</v>
      </c>
      <c r="O58" s="201"/>
      <c r="P58" s="201"/>
      <c r="Q58" s="201"/>
      <c r="R58" s="201"/>
      <c r="S58" s="201">
        <v>11307</v>
      </c>
      <c r="T58" s="201"/>
      <c r="U58" s="201"/>
      <c r="V58" s="201"/>
      <c r="W58" s="201"/>
      <c r="X58" s="201"/>
      <c r="Y58" s="201"/>
      <c r="Z58" s="201"/>
      <c r="AA58" s="201"/>
      <c r="AB58" s="201">
        <v>11</v>
      </c>
      <c r="AC58" s="201"/>
      <c r="AD58" s="201"/>
      <c r="AE58" s="201"/>
      <c r="AF58" s="201"/>
      <c r="AG58" s="201"/>
      <c r="AH58" s="201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</row>
    <row r="59" spans="1:48" s="4" customFormat="1" ht="18" customHeight="1" thickBot="1" x14ac:dyDescent="0.35">
      <c r="A59" s="159" t="s">
        <v>54</v>
      </c>
      <c r="B59" s="144" t="s">
        <v>232</v>
      </c>
      <c r="C59" s="198">
        <v>9392</v>
      </c>
      <c r="D59" s="145">
        <v>9025</v>
      </c>
      <c r="E59" s="198">
        <v>0</v>
      </c>
      <c r="F59" s="198">
        <f t="shared" si="0"/>
        <v>0</v>
      </c>
      <c r="G59" s="198">
        <f t="shared" si="1"/>
        <v>0</v>
      </c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</row>
    <row r="60" spans="1:48" s="4" customFormat="1" ht="18" customHeight="1" thickBot="1" x14ac:dyDescent="0.35">
      <c r="A60" s="159" t="s">
        <v>55</v>
      </c>
      <c r="B60" s="144" t="s">
        <v>233</v>
      </c>
      <c r="C60" s="198">
        <v>86773</v>
      </c>
      <c r="D60" s="145"/>
      <c r="E60" s="198">
        <v>86773</v>
      </c>
      <c r="F60" s="198">
        <f t="shared" si="0"/>
        <v>86773</v>
      </c>
      <c r="G60" s="198">
        <f t="shared" si="1"/>
        <v>0</v>
      </c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>
        <v>67426</v>
      </c>
      <c r="W60" s="201"/>
      <c r="X60" s="201"/>
      <c r="Y60" s="201"/>
      <c r="Z60" s="201"/>
      <c r="AA60" s="201"/>
      <c r="AB60" s="201"/>
      <c r="AC60" s="201"/>
      <c r="AD60" s="201"/>
      <c r="AE60" s="201">
        <v>19347</v>
      </c>
      <c r="AF60" s="201"/>
      <c r="AG60" s="201"/>
      <c r="AH60" s="201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</row>
    <row r="61" spans="1:48" s="4" customFormat="1" ht="18" customHeight="1" thickBot="1" x14ac:dyDescent="0.35">
      <c r="A61" s="159" t="s">
        <v>56</v>
      </c>
      <c r="B61" s="144" t="s">
        <v>234</v>
      </c>
      <c r="C61" s="198">
        <v>4229193</v>
      </c>
      <c r="D61" s="145"/>
      <c r="E61" s="198">
        <v>4229193</v>
      </c>
      <c r="F61" s="198">
        <f t="shared" si="0"/>
        <v>4229193</v>
      </c>
      <c r="G61" s="198">
        <f t="shared" si="1"/>
        <v>0</v>
      </c>
      <c r="H61" s="201"/>
      <c r="I61" s="201"/>
      <c r="J61" s="201"/>
      <c r="K61" s="201"/>
      <c r="L61" s="201"/>
      <c r="M61" s="201"/>
      <c r="N61" s="201">
        <v>1057584</v>
      </c>
      <c r="O61" s="201"/>
      <c r="P61" s="201">
        <v>591151</v>
      </c>
      <c r="Q61" s="201"/>
      <c r="R61" s="201"/>
      <c r="S61" s="201">
        <v>1104067</v>
      </c>
      <c r="T61" s="201">
        <v>417514</v>
      </c>
      <c r="U61" s="201"/>
      <c r="V61" s="201">
        <v>533745.56000000006</v>
      </c>
      <c r="W61" s="201"/>
      <c r="X61" s="201"/>
      <c r="Y61" s="201"/>
      <c r="Z61" s="201"/>
      <c r="AA61" s="201"/>
      <c r="AB61" s="201"/>
      <c r="AC61" s="201"/>
      <c r="AD61" s="201">
        <v>525131.43999999994</v>
      </c>
      <c r="AE61" s="201"/>
      <c r="AF61" s="201"/>
      <c r="AG61" s="201"/>
      <c r="AH61" s="201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</row>
    <row r="62" spans="1:48" s="4" customFormat="1" ht="18" customHeight="1" thickBot="1" x14ac:dyDescent="0.35">
      <c r="A62" s="159" t="s">
        <v>57</v>
      </c>
      <c r="B62" s="144" t="s">
        <v>235</v>
      </c>
      <c r="C62" s="198">
        <v>1531438</v>
      </c>
      <c r="D62" s="145"/>
      <c r="E62" s="198">
        <v>1531438</v>
      </c>
      <c r="F62" s="198">
        <f t="shared" si="0"/>
        <v>1531438</v>
      </c>
      <c r="G62" s="198">
        <f t="shared" si="1"/>
        <v>0</v>
      </c>
      <c r="H62" s="201"/>
      <c r="I62" s="201"/>
      <c r="J62" s="201"/>
      <c r="K62" s="201"/>
      <c r="L62" s="201"/>
      <c r="M62" s="201">
        <f>176476+116428</f>
        <v>292904</v>
      </c>
      <c r="N62" s="201">
        <v>115138</v>
      </c>
      <c r="O62" s="201">
        <v>113932</v>
      </c>
      <c r="P62" s="201">
        <v>115457</v>
      </c>
      <c r="Q62" s="201"/>
      <c r="R62" s="201">
        <v>232910</v>
      </c>
      <c r="S62" s="201">
        <v>149003</v>
      </c>
      <c r="T62" s="201"/>
      <c r="U62" s="201"/>
      <c r="V62" s="201"/>
      <c r="W62" s="201">
        <v>417094</v>
      </c>
      <c r="X62" s="201">
        <v>95000</v>
      </c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</row>
    <row r="63" spans="1:48" s="4" customFormat="1" ht="18" customHeight="1" thickBot="1" x14ac:dyDescent="0.35">
      <c r="A63" s="159" t="s">
        <v>58</v>
      </c>
      <c r="B63" s="144" t="s">
        <v>236</v>
      </c>
      <c r="C63" s="198">
        <v>1362642</v>
      </c>
      <c r="D63" s="145"/>
      <c r="E63" s="198">
        <v>1362642</v>
      </c>
      <c r="F63" s="198">
        <f t="shared" si="0"/>
        <v>1362642</v>
      </c>
      <c r="G63" s="198">
        <f t="shared" si="1"/>
        <v>0</v>
      </c>
      <c r="H63" s="201"/>
      <c r="I63" s="201"/>
      <c r="J63" s="201"/>
      <c r="K63" s="201">
        <v>111397</v>
      </c>
      <c r="L63" s="201">
        <v>109677</v>
      </c>
      <c r="M63" s="201">
        <v>96738</v>
      </c>
      <c r="N63" s="201"/>
      <c r="O63" s="201">
        <v>285858</v>
      </c>
      <c r="P63" s="201">
        <v>95090</v>
      </c>
      <c r="Q63" s="201">
        <f>104421+88551</f>
        <v>192972</v>
      </c>
      <c r="R63" s="201">
        <v>100661</v>
      </c>
      <c r="S63" s="274">
        <v>370249</v>
      </c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</row>
    <row r="64" spans="1:48" s="4" customFormat="1" ht="18" customHeight="1" thickBot="1" x14ac:dyDescent="0.35">
      <c r="A64" s="159" t="s">
        <v>59</v>
      </c>
      <c r="B64" s="144" t="s">
        <v>237</v>
      </c>
      <c r="C64" s="198">
        <v>7432054</v>
      </c>
      <c r="D64" s="145"/>
      <c r="E64" s="198">
        <v>7432054</v>
      </c>
      <c r="F64" s="198">
        <f t="shared" si="0"/>
        <v>7432054</v>
      </c>
      <c r="G64" s="198">
        <f t="shared" si="1"/>
        <v>0</v>
      </c>
      <c r="H64" s="201"/>
      <c r="I64" s="201"/>
      <c r="J64" s="201"/>
      <c r="K64" s="201">
        <v>0</v>
      </c>
      <c r="L64" s="201">
        <v>658416</v>
      </c>
      <c r="M64" s="201">
        <v>733423</v>
      </c>
      <c r="N64" s="201">
        <v>172634</v>
      </c>
      <c r="O64" s="201">
        <v>1065370</v>
      </c>
      <c r="P64" s="201">
        <v>523317</v>
      </c>
      <c r="Q64" s="201"/>
      <c r="R64" s="201">
        <f>689388+599164</f>
        <v>1288552</v>
      </c>
      <c r="S64" s="235">
        <v>624058</v>
      </c>
      <c r="T64" s="201">
        <v>328010</v>
      </c>
      <c r="U64" s="201"/>
      <c r="V64" s="201">
        <v>611248.30000000005</v>
      </c>
      <c r="W64" s="201"/>
      <c r="X64" s="201"/>
      <c r="Y64" s="201"/>
      <c r="Z64" s="201">
        <f>742847.46+684178.24</f>
        <v>1427025.7</v>
      </c>
      <c r="AA64" s="201"/>
      <c r="AB64" s="201"/>
      <c r="AC64" s="201"/>
      <c r="AD64" s="201"/>
      <c r="AE64" s="201"/>
      <c r="AF64" s="201"/>
      <c r="AG64" s="201"/>
      <c r="AH64" s="201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</row>
    <row r="65" spans="1:48" s="4" customFormat="1" ht="18" customHeight="1" thickBot="1" x14ac:dyDescent="0.35">
      <c r="A65" s="159" t="s">
        <v>60</v>
      </c>
      <c r="B65" s="144" t="s">
        <v>238</v>
      </c>
      <c r="C65" s="198">
        <v>288078</v>
      </c>
      <c r="D65" s="145"/>
      <c r="E65" s="198">
        <v>288078</v>
      </c>
      <c r="F65" s="198">
        <f t="shared" si="0"/>
        <v>288078</v>
      </c>
      <c r="G65" s="198">
        <f t="shared" si="1"/>
        <v>0</v>
      </c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>
        <v>203880</v>
      </c>
      <c r="T65" s="201"/>
      <c r="U65" s="201"/>
      <c r="V65" s="201">
        <v>73817</v>
      </c>
      <c r="W65" s="201"/>
      <c r="X65" s="201"/>
      <c r="Y65" s="201"/>
      <c r="Z65" s="201"/>
      <c r="AA65" s="201"/>
      <c r="AB65" s="201"/>
      <c r="AC65" s="201"/>
      <c r="AD65" s="201"/>
      <c r="AE65" s="201">
        <v>10381</v>
      </c>
      <c r="AF65" s="201"/>
      <c r="AG65" s="201"/>
      <c r="AH65" s="201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</row>
    <row r="66" spans="1:48" s="4" customFormat="1" ht="18" customHeight="1" thickBot="1" x14ac:dyDescent="0.35">
      <c r="A66" s="159" t="s">
        <v>61</v>
      </c>
      <c r="B66" s="144" t="s">
        <v>239</v>
      </c>
      <c r="C66" s="198">
        <v>165891</v>
      </c>
      <c r="D66" s="145"/>
      <c r="E66" s="198">
        <v>165891</v>
      </c>
      <c r="F66" s="198">
        <f t="shared" si="0"/>
        <v>165891</v>
      </c>
      <c r="G66" s="198">
        <f t="shared" si="1"/>
        <v>0</v>
      </c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>
        <v>165891</v>
      </c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</row>
    <row r="67" spans="1:48" s="4" customFormat="1" ht="18" customHeight="1" thickBot="1" x14ac:dyDescent="0.35">
      <c r="A67" s="159" t="s">
        <v>62</v>
      </c>
      <c r="B67" s="144" t="s">
        <v>240</v>
      </c>
      <c r="C67" s="198">
        <v>1080779</v>
      </c>
      <c r="D67" s="145"/>
      <c r="E67" s="198">
        <v>1080779</v>
      </c>
      <c r="F67" s="198">
        <f t="shared" si="0"/>
        <v>1080779</v>
      </c>
      <c r="G67" s="198">
        <f t="shared" si="1"/>
        <v>0</v>
      </c>
      <c r="H67" s="201"/>
      <c r="I67" s="201"/>
      <c r="J67" s="201"/>
      <c r="K67" s="201"/>
      <c r="L67" s="201"/>
      <c r="M67" s="201">
        <v>131543</v>
      </c>
      <c r="N67" s="201"/>
      <c r="O67" s="201">
        <v>170905</v>
      </c>
      <c r="P67" s="201"/>
      <c r="Q67" s="201"/>
      <c r="R67" s="201">
        <v>244300</v>
      </c>
      <c r="S67" s="201">
        <v>85733</v>
      </c>
      <c r="T67" s="201">
        <v>120469</v>
      </c>
      <c r="U67" s="201">
        <v>116166</v>
      </c>
      <c r="V67" s="201">
        <v>138348</v>
      </c>
      <c r="W67" s="201"/>
      <c r="X67" s="201"/>
      <c r="Y67" s="201"/>
      <c r="Z67" s="201"/>
      <c r="AA67" s="201">
        <v>73315</v>
      </c>
      <c r="AB67" s="201"/>
      <c r="AC67" s="201"/>
      <c r="AD67" s="201"/>
      <c r="AE67" s="201"/>
      <c r="AF67" s="201"/>
      <c r="AG67" s="201"/>
      <c r="AH67" s="201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</row>
    <row r="68" spans="1:48" s="4" customFormat="1" ht="18" customHeight="1" thickBot="1" x14ac:dyDescent="0.35">
      <c r="A68" s="159" t="s">
        <v>63</v>
      </c>
      <c r="B68" s="144" t="s">
        <v>241</v>
      </c>
      <c r="C68" s="198">
        <v>180537</v>
      </c>
      <c r="D68" s="145"/>
      <c r="E68" s="198">
        <v>180537</v>
      </c>
      <c r="F68" s="198">
        <f t="shared" si="0"/>
        <v>180537</v>
      </c>
      <c r="G68" s="198">
        <f t="shared" si="1"/>
        <v>0</v>
      </c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>
        <v>109474</v>
      </c>
      <c r="S68" s="201">
        <f>67+70996</f>
        <v>71063</v>
      </c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</row>
    <row r="69" spans="1:48" s="4" customFormat="1" ht="18" customHeight="1" thickBot="1" x14ac:dyDescent="0.35">
      <c r="A69" s="159" t="s">
        <v>64</v>
      </c>
      <c r="B69" s="144" t="s">
        <v>461</v>
      </c>
      <c r="C69" s="198">
        <v>76978</v>
      </c>
      <c r="D69" s="145"/>
      <c r="E69" s="198">
        <v>76978</v>
      </c>
      <c r="F69" s="198">
        <f t="shared" si="0"/>
        <v>76978</v>
      </c>
      <c r="G69" s="198">
        <f t="shared" si="1"/>
        <v>0</v>
      </c>
      <c r="H69" s="201"/>
      <c r="I69" s="201"/>
      <c r="J69" s="201"/>
      <c r="K69" s="201"/>
      <c r="L69" s="201"/>
      <c r="M69" s="201"/>
      <c r="N69" s="201"/>
      <c r="O69" s="201">
        <v>43453</v>
      </c>
      <c r="P69" s="201"/>
      <c r="Q69" s="201"/>
      <c r="R69" s="201">
        <v>25784</v>
      </c>
      <c r="S69" s="201"/>
      <c r="T69" s="201"/>
      <c r="U69" s="201"/>
      <c r="V69" s="201"/>
      <c r="W69" s="201"/>
      <c r="X69" s="201"/>
      <c r="Y69" s="201"/>
      <c r="Z69" s="201">
        <v>7741</v>
      </c>
      <c r="AA69" s="201"/>
      <c r="AB69" s="201"/>
      <c r="AC69" s="201"/>
      <c r="AD69" s="201"/>
      <c r="AE69" s="201"/>
      <c r="AF69" s="201"/>
      <c r="AG69" s="201"/>
      <c r="AH69" s="201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</row>
    <row r="70" spans="1:48" s="4" customFormat="1" ht="18" customHeight="1" thickBot="1" x14ac:dyDescent="0.35">
      <c r="A70" s="159" t="s">
        <v>65</v>
      </c>
      <c r="B70" s="144" t="s">
        <v>243</v>
      </c>
      <c r="C70" s="198">
        <v>54398</v>
      </c>
      <c r="D70" s="145"/>
      <c r="E70" s="198">
        <v>54398</v>
      </c>
      <c r="F70" s="198">
        <f t="shared" si="0"/>
        <v>54398</v>
      </c>
      <c r="G70" s="198">
        <f t="shared" si="1"/>
        <v>0</v>
      </c>
      <c r="H70" s="201"/>
      <c r="I70" s="201"/>
      <c r="J70" s="201"/>
      <c r="K70" s="201"/>
      <c r="L70" s="201"/>
      <c r="M70" s="201"/>
      <c r="N70" s="201"/>
      <c r="O70" s="201"/>
      <c r="P70" s="201">
        <v>24070</v>
      </c>
      <c r="Q70" s="201"/>
      <c r="R70" s="201"/>
      <c r="S70" s="201">
        <v>30328</v>
      </c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</row>
    <row r="71" spans="1:48" s="4" customFormat="1" ht="16.899999999999999" customHeight="1" thickBot="1" x14ac:dyDescent="0.35">
      <c r="A71" s="159" t="s">
        <v>66</v>
      </c>
      <c r="B71" s="144" t="s">
        <v>244</v>
      </c>
      <c r="C71" s="198">
        <v>372272</v>
      </c>
      <c r="D71" s="145"/>
      <c r="E71" s="198">
        <v>372272</v>
      </c>
      <c r="F71" s="198">
        <f t="shared" si="0"/>
        <v>372272</v>
      </c>
      <c r="G71" s="198">
        <f t="shared" si="1"/>
        <v>0</v>
      </c>
      <c r="H71" s="201"/>
      <c r="I71" s="201"/>
      <c r="J71" s="201"/>
      <c r="K71" s="201"/>
      <c r="L71" s="201"/>
      <c r="M71" s="201"/>
      <c r="N71" s="201">
        <v>74461</v>
      </c>
      <c r="O71" s="201">
        <v>23968</v>
      </c>
      <c r="P71" s="201">
        <v>23623</v>
      </c>
      <c r="Q71" s="201">
        <v>23807</v>
      </c>
      <c r="R71" s="201">
        <v>23690</v>
      </c>
      <c r="S71" s="201">
        <v>23482</v>
      </c>
      <c r="T71" s="201">
        <v>72076.070000000007</v>
      </c>
      <c r="U71" s="201"/>
      <c r="V71" s="201"/>
      <c r="W71" s="201"/>
      <c r="X71" s="201"/>
      <c r="Y71" s="201"/>
      <c r="Z71" s="201">
        <v>105436.62</v>
      </c>
      <c r="AA71" s="201">
        <v>1728.31</v>
      </c>
      <c r="AB71" s="201"/>
      <c r="AC71" s="201"/>
      <c r="AD71" s="201"/>
      <c r="AE71" s="201"/>
      <c r="AF71" s="201"/>
      <c r="AG71" s="201"/>
      <c r="AH71" s="201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</row>
    <row r="72" spans="1:48" s="4" customFormat="1" ht="18" customHeight="1" thickBot="1" x14ac:dyDescent="0.35">
      <c r="A72" s="159" t="s">
        <v>67</v>
      </c>
      <c r="B72" s="144" t="s">
        <v>245</v>
      </c>
      <c r="C72" s="198">
        <v>1606983</v>
      </c>
      <c r="D72" s="145"/>
      <c r="E72" s="198">
        <v>1606983</v>
      </c>
      <c r="F72" s="198">
        <f t="shared" si="0"/>
        <v>1606983</v>
      </c>
      <c r="G72" s="198">
        <f t="shared" si="1"/>
        <v>0</v>
      </c>
      <c r="H72" s="201"/>
      <c r="I72" s="201"/>
      <c r="J72" s="201"/>
      <c r="K72" s="201"/>
      <c r="L72" s="201"/>
      <c r="M72" s="201"/>
      <c r="N72" s="201">
        <v>178444</v>
      </c>
      <c r="O72" s="201">
        <v>245109</v>
      </c>
      <c r="P72" s="201"/>
      <c r="Q72" s="201">
        <v>215552</v>
      </c>
      <c r="R72" s="201">
        <v>106610</v>
      </c>
      <c r="S72" s="201">
        <v>163171</v>
      </c>
      <c r="T72" s="201"/>
      <c r="U72" s="201"/>
      <c r="V72" s="201">
        <v>256695</v>
      </c>
      <c r="W72" s="201">
        <v>10055</v>
      </c>
      <c r="X72" s="201"/>
      <c r="Y72" s="201"/>
      <c r="Z72" s="201">
        <v>243518</v>
      </c>
      <c r="AA72" s="201"/>
      <c r="AB72" s="201"/>
      <c r="AC72" s="201">
        <v>187829</v>
      </c>
      <c r="AD72" s="201"/>
      <c r="AE72" s="201"/>
      <c r="AF72" s="201"/>
      <c r="AG72" s="201"/>
      <c r="AH72" s="201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</row>
    <row r="73" spans="1:48" s="4" customFormat="1" ht="18" customHeight="1" thickBot="1" x14ac:dyDescent="0.35">
      <c r="A73" s="159" t="s">
        <v>68</v>
      </c>
      <c r="B73" s="144" t="s">
        <v>462</v>
      </c>
      <c r="C73" s="198">
        <v>20750</v>
      </c>
      <c r="D73" s="145"/>
      <c r="E73" s="198">
        <v>20750</v>
      </c>
      <c r="F73" s="198">
        <f t="shared" si="0"/>
        <v>20750</v>
      </c>
      <c r="G73" s="198">
        <f t="shared" si="1"/>
        <v>0</v>
      </c>
      <c r="H73" s="201"/>
      <c r="I73" s="201"/>
      <c r="J73" s="201"/>
      <c r="K73" s="201"/>
      <c r="L73" s="201"/>
      <c r="M73" s="201"/>
      <c r="N73" s="201">
        <v>6900</v>
      </c>
      <c r="O73" s="201"/>
      <c r="P73" s="201"/>
      <c r="Q73" s="201"/>
      <c r="R73" s="201">
        <v>6900</v>
      </c>
      <c r="S73" s="201">
        <v>6950</v>
      </c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</row>
    <row r="74" spans="1:48" s="4" customFormat="1" ht="18" customHeight="1" thickBot="1" x14ac:dyDescent="0.35">
      <c r="A74" s="159" t="s">
        <v>69</v>
      </c>
      <c r="B74" s="144" t="s">
        <v>623</v>
      </c>
      <c r="C74" s="198">
        <v>106643</v>
      </c>
      <c r="D74" s="145"/>
      <c r="E74" s="198">
        <v>106643</v>
      </c>
      <c r="F74" s="198">
        <f t="shared" si="0"/>
        <v>106643</v>
      </c>
      <c r="G74" s="198">
        <f t="shared" si="1"/>
        <v>0</v>
      </c>
      <c r="H74" s="201"/>
      <c r="I74" s="201"/>
      <c r="J74" s="201"/>
      <c r="K74" s="201"/>
      <c r="L74" s="201"/>
      <c r="M74" s="201">
        <v>37589</v>
      </c>
      <c r="N74" s="201"/>
      <c r="O74" s="201"/>
      <c r="P74" s="201">
        <v>15545</v>
      </c>
      <c r="Q74" s="201"/>
      <c r="R74" s="201">
        <v>23131</v>
      </c>
      <c r="S74" s="201">
        <v>30378</v>
      </c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</row>
    <row r="75" spans="1:48" s="4" customFormat="1" ht="18" customHeight="1" thickBot="1" x14ac:dyDescent="0.35">
      <c r="A75" s="159" t="s">
        <v>70</v>
      </c>
      <c r="B75" s="144" t="s">
        <v>464</v>
      </c>
      <c r="C75" s="198">
        <v>918152</v>
      </c>
      <c r="D75" s="145"/>
      <c r="E75" s="198">
        <v>918152</v>
      </c>
      <c r="F75" s="198">
        <f t="shared" si="0"/>
        <v>918152</v>
      </c>
      <c r="G75" s="198">
        <f t="shared" si="1"/>
        <v>0</v>
      </c>
      <c r="H75" s="201"/>
      <c r="I75" s="201"/>
      <c r="J75" s="201"/>
      <c r="K75" s="201"/>
      <c r="L75" s="201"/>
      <c r="M75" s="201"/>
      <c r="N75" s="201">
        <v>446740</v>
      </c>
      <c r="O75" s="201"/>
      <c r="P75" s="201"/>
      <c r="Q75" s="201"/>
      <c r="R75" s="201"/>
      <c r="S75" s="201">
        <v>185925</v>
      </c>
      <c r="T75" s="201"/>
      <c r="U75" s="201">
        <v>205750</v>
      </c>
      <c r="V75" s="201">
        <v>79737</v>
      </c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</row>
    <row r="76" spans="1:48" s="4" customFormat="1" ht="18" customHeight="1" thickBot="1" x14ac:dyDescent="0.35">
      <c r="A76" s="159" t="s">
        <v>71</v>
      </c>
      <c r="B76" s="144" t="s">
        <v>466</v>
      </c>
      <c r="C76" s="198">
        <v>354323</v>
      </c>
      <c r="D76" s="145"/>
      <c r="E76" s="198">
        <v>354323</v>
      </c>
      <c r="F76" s="198">
        <f t="shared" si="0"/>
        <v>354323</v>
      </c>
      <c r="G76" s="198">
        <f t="shared" si="1"/>
        <v>0</v>
      </c>
      <c r="H76" s="201"/>
      <c r="I76" s="201"/>
      <c r="J76" s="201"/>
      <c r="K76" s="201"/>
      <c r="L76" s="201"/>
      <c r="M76" s="201"/>
      <c r="N76" s="201">
        <v>93287</v>
      </c>
      <c r="O76" s="201"/>
      <c r="P76" s="201">
        <v>59147</v>
      </c>
      <c r="Q76" s="203"/>
      <c r="R76" s="201"/>
      <c r="S76" s="201">
        <f>70934+55132</f>
        <v>126066</v>
      </c>
      <c r="T76" s="201">
        <v>36825</v>
      </c>
      <c r="U76" s="201"/>
      <c r="V76" s="201">
        <f>25157.53+2176.51+11663.96</f>
        <v>38998</v>
      </c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</row>
    <row r="77" spans="1:48" s="4" customFormat="1" ht="18" customHeight="1" thickBot="1" x14ac:dyDescent="0.35">
      <c r="A77" s="159" t="s">
        <v>72</v>
      </c>
      <c r="B77" s="144" t="s">
        <v>467</v>
      </c>
      <c r="C77" s="198">
        <v>58314</v>
      </c>
      <c r="D77" s="145"/>
      <c r="E77" s="198">
        <v>58314</v>
      </c>
      <c r="F77" s="198">
        <f t="shared" ref="F77:F140" si="2">SUM(H77:AQ77)</f>
        <v>58314</v>
      </c>
      <c r="G77" s="198">
        <f t="shared" si="1"/>
        <v>0</v>
      </c>
      <c r="H77" s="201"/>
      <c r="I77" s="201"/>
      <c r="J77" s="201"/>
      <c r="K77" s="201"/>
      <c r="L77" s="201"/>
      <c r="M77" s="201"/>
      <c r="N77" s="201"/>
      <c r="O77" s="201"/>
      <c r="P77" s="201"/>
      <c r="Q77" s="201">
        <v>58314</v>
      </c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</row>
    <row r="78" spans="1:48" s="4" customFormat="1" ht="18" customHeight="1" thickBot="1" x14ac:dyDescent="0.35">
      <c r="A78" s="159" t="s">
        <v>73</v>
      </c>
      <c r="B78" s="144" t="s">
        <v>468</v>
      </c>
      <c r="C78" s="198">
        <v>514448</v>
      </c>
      <c r="D78" s="145"/>
      <c r="E78" s="198">
        <v>514448</v>
      </c>
      <c r="F78" s="198">
        <f t="shared" si="2"/>
        <v>514448</v>
      </c>
      <c r="G78" s="198">
        <f t="shared" ref="G78:G141" si="3">E78-(F78+AU78+AV78)</f>
        <v>0</v>
      </c>
      <c r="H78" s="201"/>
      <c r="I78" s="201"/>
      <c r="J78" s="201"/>
      <c r="K78" s="201"/>
      <c r="L78" s="201"/>
      <c r="M78" s="201"/>
      <c r="N78" s="201"/>
      <c r="O78" s="201">
        <v>134516</v>
      </c>
      <c r="P78" s="201"/>
      <c r="Q78" s="203"/>
      <c r="R78" s="201"/>
      <c r="S78" s="201">
        <v>277261</v>
      </c>
      <c r="T78" s="201"/>
      <c r="U78" s="201"/>
      <c r="V78" s="201"/>
      <c r="W78" s="201"/>
      <c r="X78" s="201">
        <v>96748</v>
      </c>
      <c r="Y78" s="201"/>
      <c r="Z78" s="201"/>
      <c r="AA78" s="201">
        <v>5923</v>
      </c>
      <c r="AB78" s="201"/>
      <c r="AC78" s="201"/>
      <c r="AD78" s="201"/>
      <c r="AE78" s="201"/>
      <c r="AF78" s="201"/>
      <c r="AG78" s="201"/>
      <c r="AH78" s="201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</row>
    <row r="79" spans="1:48" s="4" customFormat="1" ht="18" customHeight="1" thickBot="1" x14ac:dyDescent="0.35">
      <c r="A79" s="159" t="s">
        <v>74</v>
      </c>
      <c r="B79" s="144" t="s">
        <v>470</v>
      </c>
      <c r="C79" s="198">
        <v>619245</v>
      </c>
      <c r="D79" s="145"/>
      <c r="E79" s="198">
        <v>619245</v>
      </c>
      <c r="F79" s="198">
        <f t="shared" si="2"/>
        <v>619245</v>
      </c>
      <c r="G79" s="198">
        <f t="shared" si="3"/>
        <v>0</v>
      </c>
      <c r="H79" s="201"/>
      <c r="I79" s="201"/>
      <c r="J79" s="201"/>
      <c r="K79" s="201"/>
      <c r="L79" s="201"/>
      <c r="M79" s="201"/>
      <c r="N79" s="201"/>
      <c r="O79" s="201"/>
      <c r="P79" s="201">
        <v>150174</v>
      </c>
      <c r="Q79" s="201"/>
      <c r="R79" s="201">
        <v>96152</v>
      </c>
      <c r="S79" s="201">
        <v>135742</v>
      </c>
      <c r="T79" s="201"/>
      <c r="U79" s="201"/>
      <c r="V79" s="201"/>
      <c r="W79" s="201">
        <v>120829.08</v>
      </c>
      <c r="X79" s="201"/>
      <c r="Y79" s="201"/>
      <c r="Z79" s="201"/>
      <c r="AA79" s="201"/>
      <c r="AB79" s="201"/>
      <c r="AC79" s="201"/>
      <c r="AD79" s="201"/>
      <c r="AE79" s="201">
        <v>116347.92</v>
      </c>
      <c r="AF79" s="201"/>
      <c r="AG79" s="201"/>
      <c r="AH79" s="201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</row>
    <row r="80" spans="1:48" s="4" customFormat="1" ht="18" customHeight="1" thickBot="1" x14ac:dyDescent="0.35">
      <c r="A80" s="159" t="s">
        <v>75</v>
      </c>
      <c r="B80" s="144" t="s">
        <v>253</v>
      </c>
      <c r="C80" s="198">
        <v>166665</v>
      </c>
      <c r="D80" s="145"/>
      <c r="E80" s="198">
        <v>166665</v>
      </c>
      <c r="F80" s="198">
        <f t="shared" si="2"/>
        <v>166665</v>
      </c>
      <c r="G80" s="198">
        <f t="shared" si="3"/>
        <v>0</v>
      </c>
      <c r="H80" s="201"/>
      <c r="I80" s="201"/>
      <c r="J80" s="201"/>
      <c r="K80" s="201"/>
      <c r="L80" s="201"/>
      <c r="M80" s="201"/>
      <c r="N80" s="201"/>
      <c r="O80" s="201">
        <v>103835</v>
      </c>
      <c r="P80" s="201"/>
      <c r="Q80" s="201"/>
      <c r="R80" s="201"/>
      <c r="S80" s="201">
        <v>61570</v>
      </c>
      <c r="T80" s="201"/>
      <c r="U80" s="201"/>
      <c r="V80" s="201"/>
      <c r="W80" s="201"/>
      <c r="X80" s="201"/>
      <c r="Y80" s="201"/>
      <c r="Z80" s="201"/>
      <c r="AA80" s="201"/>
      <c r="AB80" s="201"/>
      <c r="AC80" s="201">
        <v>1260</v>
      </c>
      <c r="AD80" s="201"/>
      <c r="AE80" s="201"/>
      <c r="AF80" s="201"/>
      <c r="AG80" s="201"/>
      <c r="AH80" s="201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</row>
    <row r="81" spans="1:48" s="4" customFormat="1" ht="18" customHeight="1" thickBot="1" x14ac:dyDescent="0.35">
      <c r="A81" s="159" t="s">
        <v>76</v>
      </c>
      <c r="B81" s="144" t="s">
        <v>471</v>
      </c>
      <c r="C81" s="198">
        <v>22355</v>
      </c>
      <c r="D81" s="145"/>
      <c r="E81" s="198">
        <v>22355</v>
      </c>
      <c r="F81" s="198">
        <f t="shared" si="2"/>
        <v>22355</v>
      </c>
      <c r="G81" s="198">
        <f t="shared" si="3"/>
        <v>0</v>
      </c>
      <c r="H81" s="201"/>
      <c r="I81" s="201"/>
      <c r="J81" s="201"/>
      <c r="K81" s="201"/>
      <c r="L81" s="201"/>
      <c r="M81" s="201"/>
      <c r="N81" s="201"/>
      <c r="O81" s="201">
        <v>3491</v>
      </c>
      <c r="P81" s="201"/>
      <c r="Q81" s="201"/>
      <c r="R81" s="201">
        <v>5285</v>
      </c>
      <c r="S81" s="201">
        <v>1762</v>
      </c>
      <c r="T81" s="201">
        <f>1762+2211</f>
        <v>3973</v>
      </c>
      <c r="U81" s="201"/>
      <c r="V81" s="201"/>
      <c r="W81" s="201">
        <v>5924</v>
      </c>
      <c r="X81" s="201"/>
      <c r="Y81" s="201"/>
      <c r="Z81" s="201"/>
      <c r="AA81" s="201"/>
      <c r="AB81" s="201">
        <v>1920</v>
      </c>
      <c r="AC81" s="201"/>
      <c r="AD81" s="201"/>
      <c r="AE81" s="201"/>
      <c r="AF81" s="201"/>
      <c r="AG81" s="201"/>
      <c r="AH81" s="201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</row>
    <row r="82" spans="1:48" s="4" customFormat="1" ht="18" customHeight="1" thickBot="1" x14ac:dyDescent="0.35">
      <c r="A82" s="159" t="s">
        <v>77</v>
      </c>
      <c r="B82" s="144" t="s">
        <v>473</v>
      </c>
      <c r="C82" s="198">
        <v>76215</v>
      </c>
      <c r="D82" s="145"/>
      <c r="E82" s="198">
        <v>76215</v>
      </c>
      <c r="F82" s="198">
        <f t="shared" si="2"/>
        <v>76215</v>
      </c>
      <c r="G82" s="198">
        <f t="shared" si="3"/>
        <v>0</v>
      </c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>
        <v>76215</v>
      </c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</row>
    <row r="83" spans="1:48" s="4" customFormat="1" ht="18" customHeight="1" thickBot="1" x14ac:dyDescent="0.35">
      <c r="A83" s="159" t="s">
        <v>78</v>
      </c>
      <c r="B83" s="144" t="s">
        <v>256</v>
      </c>
      <c r="C83" s="198">
        <v>139635</v>
      </c>
      <c r="D83" s="145"/>
      <c r="E83" s="198">
        <v>139635</v>
      </c>
      <c r="F83" s="198">
        <f t="shared" si="2"/>
        <v>139635</v>
      </c>
      <c r="G83" s="198">
        <f t="shared" si="3"/>
        <v>0</v>
      </c>
      <c r="H83" s="201"/>
      <c r="I83" s="201"/>
      <c r="J83" s="201"/>
      <c r="K83" s="201"/>
      <c r="L83" s="201">
        <v>27421</v>
      </c>
      <c r="M83" s="201"/>
      <c r="N83" s="201">
        <v>23889</v>
      </c>
      <c r="O83" s="201"/>
      <c r="P83" s="201">
        <v>23888</v>
      </c>
      <c r="Q83" s="201"/>
      <c r="R83" s="201"/>
      <c r="S83" s="201">
        <v>64437</v>
      </c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</row>
    <row r="84" spans="1:48" s="4" customFormat="1" ht="18" customHeight="1" thickBot="1" x14ac:dyDescent="0.35">
      <c r="A84" s="159" t="s">
        <v>79</v>
      </c>
      <c r="B84" s="144" t="s">
        <v>257</v>
      </c>
      <c r="C84" s="198">
        <v>239890</v>
      </c>
      <c r="D84" s="145"/>
      <c r="E84" s="198">
        <v>239890</v>
      </c>
      <c r="F84" s="198">
        <f t="shared" si="2"/>
        <v>239890</v>
      </c>
      <c r="G84" s="198">
        <f t="shared" si="3"/>
        <v>0</v>
      </c>
      <c r="H84" s="201"/>
      <c r="I84" s="201"/>
      <c r="J84" s="201"/>
      <c r="K84" s="201"/>
      <c r="L84" s="201">
        <v>19989</v>
      </c>
      <c r="M84" s="201"/>
      <c r="N84" s="201"/>
      <c r="O84" s="201">
        <v>59956</v>
      </c>
      <c r="P84" s="201"/>
      <c r="Q84" s="201"/>
      <c r="R84" s="201">
        <v>59957</v>
      </c>
      <c r="S84" s="201">
        <v>39970</v>
      </c>
      <c r="T84" s="201"/>
      <c r="U84" s="201">
        <v>59952</v>
      </c>
      <c r="V84" s="201"/>
      <c r="W84" s="201"/>
      <c r="X84" s="201"/>
      <c r="Y84" s="201">
        <v>66</v>
      </c>
      <c r="Z84" s="201"/>
      <c r="AA84" s="201"/>
      <c r="AB84" s="201"/>
      <c r="AC84" s="201"/>
      <c r="AD84" s="201"/>
      <c r="AE84" s="201"/>
      <c r="AF84" s="201"/>
      <c r="AG84" s="201"/>
      <c r="AH84" s="201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</row>
    <row r="85" spans="1:48" s="4" customFormat="1" ht="18" customHeight="1" thickBot="1" x14ac:dyDescent="0.35">
      <c r="A85" s="159" t="s">
        <v>80</v>
      </c>
      <c r="B85" s="144" t="s">
        <v>258</v>
      </c>
      <c r="C85" s="198">
        <v>23412</v>
      </c>
      <c r="D85" s="145"/>
      <c r="E85" s="198">
        <v>23412</v>
      </c>
      <c r="F85" s="198">
        <f t="shared" si="2"/>
        <v>23412</v>
      </c>
      <c r="G85" s="198">
        <f t="shared" si="3"/>
        <v>0</v>
      </c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>
        <v>23409</v>
      </c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>
        <v>3</v>
      </c>
      <c r="AE85" s="201"/>
      <c r="AF85" s="201"/>
      <c r="AG85" s="201"/>
      <c r="AH85" s="201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</row>
    <row r="86" spans="1:48" s="4" customFormat="1" ht="18" customHeight="1" thickBot="1" x14ac:dyDescent="0.35">
      <c r="A86" s="159" t="s">
        <v>81</v>
      </c>
      <c r="B86" s="144" t="s">
        <v>479</v>
      </c>
      <c r="C86" s="198">
        <v>265398</v>
      </c>
      <c r="D86" s="145"/>
      <c r="E86" s="198">
        <v>265398</v>
      </c>
      <c r="F86" s="198">
        <f t="shared" si="2"/>
        <v>265398</v>
      </c>
      <c r="G86" s="198">
        <f t="shared" si="3"/>
        <v>0</v>
      </c>
      <c r="H86" s="201"/>
      <c r="I86" s="201"/>
      <c r="J86" s="201"/>
      <c r="K86" s="201">
        <v>0</v>
      </c>
      <c r="L86" s="201"/>
      <c r="M86" s="201">
        <f>8899+26201</f>
        <v>35100</v>
      </c>
      <c r="N86" s="201">
        <v>43838</v>
      </c>
      <c r="O86" s="201">
        <v>52810</v>
      </c>
      <c r="P86" s="201">
        <v>25582</v>
      </c>
      <c r="Q86" s="201">
        <v>25581</v>
      </c>
      <c r="R86" s="201">
        <v>25581</v>
      </c>
      <c r="S86" s="201">
        <v>26648</v>
      </c>
      <c r="T86" s="201">
        <v>21882.04</v>
      </c>
      <c r="U86" s="201">
        <v>8375.9599999999991</v>
      </c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</row>
    <row r="87" spans="1:48" s="4" customFormat="1" ht="18" customHeight="1" thickBot="1" x14ac:dyDescent="0.35">
      <c r="A87" s="159" t="s">
        <v>82</v>
      </c>
      <c r="B87" s="144" t="s">
        <v>481</v>
      </c>
      <c r="C87" s="198">
        <v>109281</v>
      </c>
      <c r="D87" s="145"/>
      <c r="E87" s="198">
        <v>109281</v>
      </c>
      <c r="F87" s="198">
        <f t="shared" si="2"/>
        <v>109281</v>
      </c>
      <c r="G87" s="198">
        <f t="shared" si="3"/>
        <v>0</v>
      </c>
      <c r="H87" s="201"/>
      <c r="I87" s="201"/>
      <c r="J87" s="201"/>
      <c r="K87" s="201"/>
      <c r="L87" s="201"/>
      <c r="M87" s="201">
        <v>8743</v>
      </c>
      <c r="N87" s="201">
        <v>26832</v>
      </c>
      <c r="O87" s="201">
        <v>9492</v>
      </c>
      <c r="P87" s="201">
        <v>8401</v>
      </c>
      <c r="Q87" s="201">
        <v>9389</v>
      </c>
      <c r="R87" s="201">
        <v>17200</v>
      </c>
      <c r="S87" s="201">
        <v>12505</v>
      </c>
      <c r="T87" s="201">
        <v>8818</v>
      </c>
      <c r="U87" s="201">
        <v>2073</v>
      </c>
      <c r="V87" s="201"/>
      <c r="W87" s="201">
        <v>5828</v>
      </c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</row>
    <row r="88" spans="1:48" s="4" customFormat="1" ht="18" customHeight="1" thickBot="1" x14ac:dyDescent="0.35">
      <c r="A88" s="159" t="s">
        <v>83</v>
      </c>
      <c r="B88" s="144" t="s">
        <v>261</v>
      </c>
      <c r="C88" s="198">
        <v>40340</v>
      </c>
      <c r="D88" s="145"/>
      <c r="E88" s="198">
        <v>40340</v>
      </c>
      <c r="F88" s="198">
        <f t="shared" si="2"/>
        <v>40340</v>
      </c>
      <c r="G88" s="198">
        <f t="shared" si="3"/>
        <v>0</v>
      </c>
      <c r="H88" s="201"/>
      <c r="I88" s="201"/>
      <c r="J88" s="201"/>
      <c r="K88" s="201"/>
      <c r="L88" s="201"/>
      <c r="M88" s="201"/>
      <c r="N88" s="201"/>
      <c r="O88" s="201"/>
      <c r="P88" s="203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2"/>
      <c r="AJ88" s="202"/>
      <c r="AK88" s="202">
        <v>40340</v>
      </c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</row>
    <row r="89" spans="1:48" s="4" customFormat="1" ht="18" customHeight="1" thickBot="1" x14ac:dyDescent="0.35">
      <c r="A89" s="159" t="s">
        <v>84</v>
      </c>
      <c r="B89" s="144" t="s">
        <v>262</v>
      </c>
      <c r="C89" s="198">
        <v>8822835</v>
      </c>
      <c r="D89" s="145"/>
      <c r="E89" s="198">
        <v>8822835</v>
      </c>
      <c r="F89" s="198">
        <f t="shared" si="2"/>
        <v>8822835</v>
      </c>
      <c r="G89" s="198">
        <f t="shared" si="3"/>
        <v>0</v>
      </c>
      <c r="H89" s="201"/>
      <c r="I89" s="201"/>
      <c r="J89" s="201"/>
      <c r="K89" s="201"/>
      <c r="L89" s="201"/>
      <c r="M89" s="201"/>
      <c r="N89" s="201">
        <v>1956271</v>
      </c>
      <c r="O89" s="201">
        <v>1430430</v>
      </c>
      <c r="P89" s="201">
        <v>770167</v>
      </c>
      <c r="Q89" s="201">
        <v>833652</v>
      </c>
      <c r="R89" s="201">
        <v>825068</v>
      </c>
      <c r="S89" s="235">
        <v>862619</v>
      </c>
      <c r="T89" s="201">
        <v>700382</v>
      </c>
      <c r="U89" s="201"/>
      <c r="V89" s="201">
        <v>982436.67</v>
      </c>
      <c r="W89" s="201"/>
      <c r="X89" s="201"/>
      <c r="Y89" s="201">
        <v>461809.33</v>
      </c>
      <c r="Z89" s="201"/>
      <c r="AA89" s="201"/>
      <c r="AB89" s="201"/>
      <c r="AC89" s="201"/>
      <c r="AD89" s="201"/>
      <c r="AE89" s="201"/>
      <c r="AF89" s="201"/>
      <c r="AG89" s="201"/>
      <c r="AH89" s="201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</row>
    <row r="90" spans="1:48" s="4" customFormat="1" ht="18" customHeight="1" thickBot="1" x14ac:dyDescent="0.35">
      <c r="A90" s="159" t="s">
        <v>85</v>
      </c>
      <c r="B90" s="144" t="s">
        <v>484</v>
      </c>
      <c r="C90" s="198">
        <v>28794</v>
      </c>
      <c r="D90" s="145"/>
      <c r="E90" s="198">
        <v>28794</v>
      </c>
      <c r="F90" s="198">
        <f t="shared" si="2"/>
        <v>28794</v>
      </c>
      <c r="G90" s="198">
        <f t="shared" si="3"/>
        <v>0</v>
      </c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>
        <v>28793</v>
      </c>
      <c r="T90" s="201"/>
      <c r="U90" s="201"/>
      <c r="V90" s="201"/>
      <c r="W90" s="201"/>
      <c r="X90" s="201"/>
      <c r="Y90" s="201"/>
      <c r="Z90" s="201"/>
      <c r="AA90" s="201"/>
      <c r="AB90" s="201"/>
      <c r="AC90" s="201">
        <v>1</v>
      </c>
      <c r="AD90" s="201"/>
      <c r="AE90" s="201"/>
      <c r="AF90" s="201"/>
      <c r="AG90" s="201"/>
      <c r="AH90" s="201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</row>
    <row r="91" spans="1:48" s="4" customFormat="1" ht="18" customHeight="1" thickBot="1" x14ac:dyDescent="0.35">
      <c r="A91" s="159" t="s">
        <v>86</v>
      </c>
      <c r="B91" s="144" t="s">
        <v>486</v>
      </c>
      <c r="C91" s="198">
        <v>19629</v>
      </c>
      <c r="D91" s="145"/>
      <c r="E91" s="198">
        <v>19629</v>
      </c>
      <c r="F91" s="198">
        <f t="shared" si="2"/>
        <v>19629</v>
      </c>
      <c r="G91" s="198">
        <f t="shared" si="3"/>
        <v>0</v>
      </c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>
        <v>13378</v>
      </c>
      <c r="T91" s="201"/>
      <c r="U91" s="201"/>
      <c r="V91" s="201"/>
      <c r="W91" s="201"/>
      <c r="X91" s="201">
        <v>6251</v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</row>
    <row r="92" spans="1:48" s="4" customFormat="1" ht="18" customHeight="1" thickBot="1" x14ac:dyDescent="0.35">
      <c r="A92" s="159" t="s">
        <v>87</v>
      </c>
      <c r="B92" s="144" t="s">
        <v>265</v>
      </c>
      <c r="C92" s="198">
        <v>31494</v>
      </c>
      <c r="D92" s="145">
        <v>9025</v>
      </c>
      <c r="E92" s="198">
        <v>0</v>
      </c>
      <c r="F92" s="198">
        <f t="shared" si="2"/>
        <v>0</v>
      </c>
      <c r="G92" s="198">
        <f t="shared" si="3"/>
        <v>0</v>
      </c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</row>
    <row r="93" spans="1:48" s="4" customFormat="1" ht="18" customHeight="1" thickBot="1" x14ac:dyDescent="0.35">
      <c r="A93" s="159" t="s">
        <v>88</v>
      </c>
      <c r="B93" s="144" t="s">
        <v>266</v>
      </c>
      <c r="C93" s="198">
        <v>19344</v>
      </c>
      <c r="D93" s="145">
        <v>9025</v>
      </c>
      <c r="E93" s="198">
        <v>0</v>
      </c>
      <c r="F93" s="198">
        <f t="shared" si="2"/>
        <v>0</v>
      </c>
      <c r="G93" s="198">
        <f t="shared" si="3"/>
        <v>0</v>
      </c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</row>
    <row r="94" spans="1:48" s="4" customFormat="1" ht="18" customHeight="1" thickBot="1" x14ac:dyDescent="0.35">
      <c r="A94" s="159" t="s">
        <v>89</v>
      </c>
      <c r="B94" s="144" t="s">
        <v>267</v>
      </c>
      <c r="C94" s="198">
        <v>40983</v>
      </c>
      <c r="D94" s="145">
        <v>9025</v>
      </c>
      <c r="E94" s="198">
        <v>0</v>
      </c>
      <c r="F94" s="198">
        <f t="shared" si="2"/>
        <v>0</v>
      </c>
      <c r="G94" s="198">
        <f t="shared" si="3"/>
        <v>0</v>
      </c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</row>
    <row r="95" spans="1:48" s="4" customFormat="1" ht="18" customHeight="1" thickBot="1" x14ac:dyDescent="0.35">
      <c r="A95" s="159" t="s">
        <v>90</v>
      </c>
      <c r="B95" s="144" t="s">
        <v>268</v>
      </c>
      <c r="C95" s="198">
        <v>21588</v>
      </c>
      <c r="D95" s="145">
        <v>9025</v>
      </c>
      <c r="E95" s="198">
        <v>0</v>
      </c>
      <c r="F95" s="198">
        <f t="shared" si="2"/>
        <v>0</v>
      </c>
      <c r="G95" s="198">
        <f t="shared" si="3"/>
        <v>0</v>
      </c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</row>
    <row r="96" spans="1:48" s="4" customFormat="1" ht="18" customHeight="1" thickBot="1" x14ac:dyDescent="0.35">
      <c r="A96" s="159" t="s">
        <v>91</v>
      </c>
      <c r="B96" s="144" t="s">
        <v>488</v>
      </c>
      <c r="C96" s="198">
        <v>162923</v>
      </c>
      <c r="D96" s="145">
        <v>9025</v>
      </c>
      <c r="E96" s="198">
        <v>0</v>
      </c>
      <c r="F96" s="198">
        <f t="shared" si="2"/>
        <v>0</v>
      </c>
      <c r="G96" s="198">
        <f t="shared" si="3"/>
        <v>0</v>
      </c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</row>
    <row r="97" spans="1:48" s="4" customFormat="1" ht="18" customHeight="1" thickBot="1" x14ac:dyDescent="0.35">
      <c r="A97" s="159" t="s">
        <v>92</v>
      </c>
      <c r="B97" s="144" t="s">
        <v>270</v>
      </c>
      <c r="C97" s="198">
        <v>255653</v>
      </c>
      <c r="D97" s="145"/>
      <c r="E97" s="198">
        <v>255653</v>
      </c>
      <c r="F97" s="198">
        <f t="shared" si="2"/>
        <v>255653</v>
      </c>
      <c r="G97" s="198">
        <f t="shared" si="3"/>
        <v>0</v>
      </c>
      <c r="H97" s="201"/>
      <c r="I97" s="201"/>
      <c r="J97" s="201"/>
      <c r="K97" s="201"/>
      <c r="L97" s="201"/>
      <c r="M97" s="201">
        <v>27466</v>
      </c>
      <c r="N97" s="201"/>
      <c r="O97" s="201">
        <v>43256</v>
      </c>
      <c r="P97" s="201">
        <v>27960</v>
      </c>
      <c r="Q97" s="201">
        <v>25733</v>
      </c>
      <c r="R97" s="201"/>
      <c r="S97" s="201">
        <v>110806</v>
      </c>
      <c r="T97" s="201"/>
      <c r="U97" s="201"/>
      <c r="V97" s="201"/>
      <c r="W97" s="201">
        <v>6306</v>
      </c>
      <c r="X97" s="201"/>
      <c r="Y97" s="201">
        <v>14126</v>
      </c>
      <c r="Z97" s="201"/>
      <c r="AA97" s="201"/>
      <c r="AB97" s="201"/>
      <c r="AC97" s="201"/>
      <c r="AD97" s="201"/>
      <c r="AE97" s="201"/>
      <c r="AF97" s="201"/>
      <c r="AG97" s="201"/>
      <c r="AH97" s="201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</row>
    <row r="98" spans="1:48" s="4" customFormat="1" ht="18" customHeight="1" thickBot="1" x14ac:dyDescent="0.35">
      <c r="A98" s="159" t="s">
        <v>93</v>
      </c>
      <c r="B98" s="144" t="s">
        <v>271</v>
      </c>
      <c r="C98" s="198">
        <v>556148</v>
      </c>
      <c r="D98" s="145"/>
      <c r="E98" s="198">
        <v>556148</v>
      </c>
      <c r="F98" s="198">
        <f t="shared" si="2"/>
        <v>556148</v>
      </c>
      <c r="G98" s="198">
        <f t="shared" si="3"/>
        <v>0</v>
      </c>
      <c r="H98" s="201"/>
      <c r="I98" s="201"/>
      <c r="J98" s="201"/>
      <c r="K98" s="201"/>
      <c r="L98" s="201"/>
      <c r="M98" s="201"/>
      <c r="N98" s="201"/>
      <c r="O98" s="201">
        <v>159067</v>
      </c>
      <c r="P98" s="201"/>
      <c r="Q98" s="201">
        <v>91770</v>
      </c>
      <c r="R98" s="201">
        <v>34993</v>
      </c>
      <c r="S98" s="201">
        <v>71520</v>
      </c>
      <c r="T98" s="201">
        <v>47053</v>
      </c>
      <c r="U98" s="201">
        <v>50870</v>
      </c>
      <c r="V98" s="201"/>
      <c r="W98" s="201">
        <f>76227.18+24647.82</f>
        <v>100875</v>
      </c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</row>
    <row r="99" spans="1:48" s="4" customFormat="1" ht="18" customHeight="1" thickBot="1" x14ac:dyDescent="0.35">
      <c r="A99" s="159" t="s">
        <v>94</v>
      </c>
      <c r="B99" s="144" t="s">
        <v>272</v>
      </c>
      <c r="C99" s="198">
        <v>101184</v>
      </c>
      <c r="D99" s="145"/>
      <c r="E99" s="198">
        <v>101184</v>
      </c>
      <c r="F99" s="198">
        <f t="shared" si="2"/>
        <v>101184</v>
      </c>
      <c r="G99" s="198">
        <f t="shared" si="3"/>
        <v>0</v>
      </c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>
        <v>89869</v>
      </c>
      <c r="T99" s="201"/>
      <c r="U99" s="201"/>
      <c r="V99" s="201"/>
      <c r="W99" s="201"/>
      <c r="X99" s="201"/>
      <c r="Y99" s="201"/>
      <c r="Z99" s="201"/>
      <c r="AA99" s="201"/>
      <c r="AB99" s="201">
        <v>11315</v>
      </c>
      <c r="AC99" s="201"/>
      <c r="AD99" s="201"/>
      <c r="AE99" s="201"/>
      <c r="AF99" s="201"/>
      <c r="AG99" s="201"/>
      <c r="AH99" s="201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</row>
    <row r="100" spans="1:48" s="4" customFormat="1" ht="18" customHeight="1" thickBot="1" x14ac:dyDescent="0.35">
      <c r="A100" s="159" t="s">
        <v>95</v>
      </c>
      <c r="B100" s="144" t="s">
        <v>492</v>
      </c>
      <c r="C100" s="198">
        <v>133899</v>
      </c>
      <c r="D100" s="145"/>
      <c r="E100" s="198">
        <v>133899</v>
      </c>
      <c r="F100" s="198">
        <f t="shared" si="2"/>
        <v>133899</v>
      </c>
      <c r="G100" s="198">
        <f t="shared" si="3"/>
        <v>0</v>
      </c>
      <c r="H100" s="201"/>
      <c r="I100" s="201"/>
      <c r="J100" s="201"/>
      <c r="K100" s="201"/>
      <c r="L100" s="201"/>
      <c r="M100" s="201"/>
      <c r="N100" s="201"/>
      <c r="O100" s="201"/>
      <c r="P100" s="201"/>
      <c r="Q100" s="201">
        <v>102751</v>
      </c>
      <c r="R100" s="201"/>
      <c r="S100" s="201">
        <v>26643</v>
      </c>
      <c r="T100" s="201"/>
      <c r="U100" s="201"/>
      <c r="V100" s="201"/>
      <c r="W100" s="201"/>
      <c r="X100" s="201"/>
      <c r="Y100" s="201">
        <v>4505</v>
      </c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</row>
    <row r="101" spans="1:48" s="4" customFormat="1" ht="18" customHeight="1" thickBot="1" x14ac:dyDescent="0.35">
      <c r="A101" s="159" t="s">
        <v>96</v>
      </c>
      <c r="B101" s="144" t="s">
        <v>274</v>
      </c>
      <c r="C101" s="198">
        <v>2709321</v>
      </c>
      <c r="D101" s="145"/>
      <c r="E101" s="198">
        <v>2709321</v>
      </c>
      <c r="F101" s="198">
        <f t="shared" si="2"/>
        <v>2709321</v>
      </c>
      <c r="G101" s="198">
        <f t="shared" si="3"/>
        <v>0</v>
      </c>
      <c r="H101" s="201"/>
      <c r="I101" s="201"/>
      <c r="J101" s="201"/>
      <c r="K101" s="201"/>
      <c r="L101" s="201">
        <v>13774</v>
      </c>
      <c r="M101" s="201"/>
      <c r="N101" s="201"/>
      <c r="O101" s="201">
        <v>495380</v>
      </c>
      <c r="P101" s="201"/>
      <c r="Q101" s="201"/>
      <c r="R101" s="201">
        <v>482930</v>
      </c>
      <c r="S101" s="201">
        <v>335061</v>
      </c>
      <c r="T101" s="201"/>
      <c r="U101" s="201">
        <v>302539</v>
      </c>
      <c r="V101" s="201"/>
      <c r="W101" s="201"/>
      <c r="X101" s="201">
        <v>310212</v>
      </c>
      <c r="Y101" s="201">
        <v>436838.02</v>
      </c>
      <c r="Z101" s="201"/>
      <c r="AA101" s="201">
        <v>332586.98</v>
      </c>
      <c r="AB101" s="201"/>
      <c r="AC101" s="201"/>
      <c r="AD101" s="201"/>
      <c r="AE101" s="201"/>
      <c r="AF101" s="201"/>
      <c r="AG101" s="201"/>
      <c r="AH101" s="201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</row>
    <row r="102" spans="1:48" s="4" customFormat="1" ht="16.899999999999999" customHeight="1" thickBot="1" x14ac:dyDescent="0.35">
      <c r="A102" s="159" t="s">
        <v>97</v>
      </c>
      <c r="B102" s="144" t="s">
        <v>494</v>
      </c>
      <c r="C102" s="198">
        <v>1618451</v>
      </c>
      <c r="D102" s="145"/>
      <c r="E102" s="198">
        <v>1618451</v>
      </c>
      <c r="F102" s="198">
        <f t="shared" si="2"/>
        <v>1618450.9999999998</v>
      </c>
      <c r="G102" s="198">
        <f t="shared" si="3"/>
        <v>0</v>
      </c>
      <c r="H102" s="201"/>
      <c r="I102" s="201"/>
      <c r="J102" s="201"/>
      <c r="K102" s="201"/>
      <c r="L102" s="201">
        <v>0</v>
      </c>
      <c r="M102" s="201">
        <v>59750</v>
      </c>
      <c r="N102" s="201"/>
      <c r="O102" s="201">
        <v>138459</v>
      </c>
      <c r="P102" s="201">
        <v>125996</v>
      </c>
      <c r="Q102" s="201">
        <f>121186+127654</f>
        <v>248840</v>
      </c>
      <c r="R102" s="201">
        <v>162461</v>
      </c>
      <c r="S102" s="201">
        <v>129791</v>
      </c>
      <c r="T102" s="201">
        <v>132761.73000000001</v>
      </c>
      <c r="U102" s="201">
        <v>115067.13</v>
      </c>
      <c r="V102" s="201">
        <v>117843.72</v>
      </c>
      <c r="W102" s="201"/>
      <c r="X102" s="201">
        <v>288990.74</v>
      </c>
      <c r="Y102" s="201">
        <v>98490.68</v>
      </c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</row>
    <row r="103" spans="1:48" s="4" customFormat="1" ht="18" customHeight="1" thickBot="1" x14ac:dyDescent="0.35">
      <c r="A103" s="159" t="s">
        <v>98</v>
      </c>
      <c r="B103" s="144" t="s">
        <v>495</v>
      </c>
      <c r="C103" s="198">
        <v>287577</v>
      </c>
      <c r="D103" s="145"/>
      <c r="E103" s="198">
        <v>287577</v>
      </c>
      <c r="F103" s="198">
        <f t="shared" si="2"/>
        <v>287577</v>
      </c>
      <c r="G103" s="198">
        <f t="shared" si="3"/>
        <v>0</v>
      </c>
      <c r="H103" s="201"/>
      <c r="I103" s="201"/>
      <c r="J103" s="201"/>
      <c r="K103" s="201"/>
      <c r="L103" s="201"/>
      <c r="M103" s="201"/>
      <c r="N103" s="201">
        <v>47057</v>
      </c>
      <c r="O103" s="201">
        <v>25855</v>
      </c>
      <c r="P103" s="201"/>
      <c r="Q103" s="201">
        <v>53736</v>
      </c>
      <c r="R103" s="201">
        <v>26294</v>
      </c>
      <c r="S103" s="201">
        <v>25455</v>
      </c>
      <c r="T103" s="201">
        <v>23380.42</v>
      </c>
      <c r="U103" s="201">
        <v>14934.39</v>
      </c>
      <c r="V103" s="201">
        <v>25127.3</v>
      </c>
      <c r="W103" s="201">
        <v>37318.300000000003</v>
      </c>
      <c r="X103" s="201">
        <v>8419.59</v>
      </c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</row>
    <row r="104" spans="1:48" s="4" customFormat="1" ht="18" customHeight="1" thickBot="1" x14ac:dyDescent="0.35">
      <c r="A104" s="159" t="s">
        <v>99</v>
      </c>
      <c r="B104" s="144" t="s">
        <v>277</v>
      </c>
      <c r="C104" s="198">
        <v>361670</v>
      </c>
      <c r="D104" s="145"/>
      <c r="E104" s="198">
        <v>361670</v>
      </c>
      <c r="F104" s="198">
        <f t="shared" si="2"/>
        <v>361670</v>
      </c>
      <c r="G104" s="198">
        <f t="shared" si="3"/>
        <v>0</v>
      </c>
      <c r="H104" s="201"/>
      <c r="I104" s="201"/>
      <c r="J104" s="201"/>
      <c r="K104" s="201"/>
      <c r="L104" s="201"/>
      <c r="M104" s="201">
        <v>9059</v>
      </c>
      <c r="N104" s="201">
        <v>43577</v>
      </c>
      <c r="O104" s="201">
        <v>22754</v>
      </c>
      <c r="P104" s="201"/>
      <c r="Q104" s="201"/>
      <c r="R104" s="201">
        <v>20284</v>
      </c>
      <c r="S104" s="201"/>
      <c r="T104" s="201">
        <v>21326</v>
      </c>
      <c r="U104" s="201"/>
      <c r="V104" s="201"/>
      <c r="W104" s="201"/>
      <c r="X104" s="201"/>
      <c r="Y104" s="201"/>
      <c r="Z104" s="201"/>
      <c r="AA104" s="201">
        <v>108913.63</v>
      </c>
      <c r="AB104" s="201">
        <v>35076</v>
      </c>
      <c r="AC104" s="201"/>
      <c r="AD104" s="201">
        <v>100680.34</v>
      </c>
      <c r="AE104" s="201">
        <v>0.03</v>
      </c>
      <c r="AF104" s="201"/>
      <c r="AG104" s="201"/>
      <c r="AH104" s="201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</row>
    <row r="105" spans="1:48" s="4" customFormat="1" ht="18" customHeight="1" thickBot="1" x14ac:dyDescent="0.35">
      <c r="A105" s="159" t="s">
        <v>100</v>
      </c>
      <c r="B105" s="144" t="s">
        <v>278</v>
      </c>
      <c r="C105" s="198">
        <v>39184</v>
      </c>
      <c r="D105" s="145"/>
      <c r="E105" s="198">
        <v>39184</v>
      </c>
      <c r="F105" s="198">
        <f t="shared" si="2"/>
        <v>39184</v>
      </c>
      <c r="G105" s="198">
        <f t="shared" si="3"/>
        <v>0</v>
      </c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>
        <v>23845.35</v>
      </c>
      <c r="S105" s="201">
        <v>15338.65</v>
      </c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</row>
    <row r="106" spans="1:48" s="4" customFormat="1" ht="18" customHeight="1" thickBot="1" x14ac:dyDescent="0.35">
      <c r="A106" s="159" t="s">
        <v>101</v>
      </c>
      <c r="B106" s="144" t="s">
        <v>279</v>
      </c>
      <c r="C106" s="198">
        <v>54988</v>
      </c>
      <c r="D106" s="145"/>
      <c r="E106" s="198">
        <v>54988</v>
      </c>
      <c r="F106" s="198">
        <f t="shared" si="2"/>
        <v>54988</v>
      </c>
      <c r="G106" s="198">
        <f t="shared" si="3"/>
        <v>0</v>
      </c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>
        <f>2829+51871</f>
        <v>54700</v>
      </c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>
        <v>288</v>
      </c>
      <c r="AF106" s="201"/>
      <c r="AG106" s="201"/>
      <c r="AH106" s="201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</row>
    <row r="107" spans="1:48" s="4" customFormat="1" ht="18" customHeight="1" thickBot="1" x14ac:dyDescent="0.35">
      <c r="A107" s="159" t="s">
        <v>102</v>
      </c>
      <c r="B107" s="144" t="s">
        <v>497</v>
      </c>
      <c r="C107" s="198">
        <v>84300</v>
      </c>
      <c r="D107" s="145"/>
      <c r="E107" s="198">
        <v>84300</v>
      </c>
      <c r="F107" s="198">
        <f t="shared" si="2"/>
        <v>84300</v>
      </c>
      <c r="G107" s="198">
        <f t="shared" si="3"/>
        <v>0</v>
      </c>
      <c r="H107" s="201"/>
      <c r="I107" s="201"/>
      <c r="J107" s="201"/>
      <c r="K107" s="201"/>
      <c r="L107" s="201"/>
      <c r="M107" s="201"/>
      <c r="N107" s="201">
        <v>39935</v>
      </c>
      <c r="O107" s="201"/>
      <c r="P107" s="201"/>
      <c r="Q107" s="201"/>
      <c r="R107" s="201">
        <v>42998</v>
      </c>
      <c r="S107" s="201"/>
      <c r="T107" s="201"/>
      <c r="U107" s="201"/>
      <c r="V107" s="201"/>
      <c r="W107" s="201"/>
      <c r="X107" s="201">
        <v>1367</v>
      </c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</row>
    <row r="108" spans="1:48" s="4" customFormat="1" ht="18" customHeight="1" thickBot="1" x14ac:dyDescent="0.35">
      <c r="A108" s="159" t="s">
        <v>103</v>
      </c>
      <c r="B108" s="144" t="s">
        <v>281</v>
      </c>
      <c r="C108" s="198">
        <v>13260</v>
      </c>
      <c r="D108" s="145"/>
      <c r="E108" s="198">
        <v>13260</v>
      </c>
      <c r="F108" s="198">
        <f t="shared" si="2"/>
        <v>13260</v>
      </c>
      <c r="G108" s="198">
        <f t="shared" si="3"/>
        <v>0</v>
      </c>
      <c r="H108" s="201"/>
      <c r="I108" s="201"/>
      <c r="J108" s="201"/>
      <c r="K108" s="201"/>
      <c r="L108" s="201">
        <f>1199+1200</f>
        <v>2399</v>
      </c>
      <c r="M108" s="201"/>
      <c r="N108" s="201">
        <v>1200</v>
      </c>
      <c r="O108" s="201">
        <f>1199+1200</f>
        <v>2399</v>
      </c>
      <c r="P108" s="201">
        <v>1239</v>
      </c>
      <c r="Q108" s="201">
        <v>1390</v>
      </c>
      <c r="R108" s="201">
        <v>1406</v>
      </c>
      <c r="S108" s="201">
        <v>3227</v>
      </c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</row>
    <row r="109" spans="1:48" s="4" customFormat="1" ht="18" customHeight="1" thickBot="1" x14ac:dyDescent="0.35">
      <c r="A109" s="159" t="s">
        <v>104</v>
      </c>
      <c r="B109" s="144" t="s">
        <v>282</v>
      </c>
      <c r="C109" s="198">
        <v>13975</v>
      </c>
      <c r="D109" s="145"/>
      <c r="E109" s="198">
        <v>13975</v>
      </c>
      <c r="F109" s="198">
        <f t="shared" si="2"/>
        <v>13975</v>
      </c>
      <c r="G109" s="198">
        <f t="shared" si="3"/>
        <v>0</v>
      </c>
      <c r="H109" s="201"/>
      <c r="I109" s="201"/>
      <c r="J109" s="201"/>
      <c r="K109" s="201"/>
      <c r="L109" s="201"/>
      <c r="M109" s="201"/>
      <c r="N109" s="201"/>
      <c r="O109" s="201"/>
      <c r="P109" s="201"/>
      <c r="Q109" s="201">
        <v>13975</v>
      </c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</row>
    <row r="110" spans="1:48" s="4" customFormat="1" ht="18" customHeight="1" thickBot="1" x14ac:dyDescent="0.35">
      <c r="A110" s="159" t="s">
        <v>105</v>
      </c>
      <c r="B110" s="144" t="s">
        <v>283</v>
      </c>
      <c r="C110" s="198">
        <v>35973</v>
      </c>
      <c r="D110" s="145">
        <v>9025</v>
      </c>
      <c r="E110" s="198">
        <v>0</v>
      </c>
      <c r="F110" s="198">
        <f t="shared" si="2"/>
        <v>0</v>
      </c>
      <c r="G110" s="198">
        <f t="shared" si="3"/>
        <v>0</v>
      </c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</row>
    <row r="111" spans="1:48" s="4" customFormat="1" ht="18" customHeight="1" thickBot="1" x14ac:dyDescent="0.35">
      <c r="A111" s="159" t="s">
        <v>106</v>
      </c>
      <c r="B111" s="144" t="s">
        <v>499</v>
      </c>
      <c r="C111" s="198">
        <v>98129</v>
      </c>
      <c r="D111" s="145">
        <v>9025</v>
      </c>
      <c r="E111" s="198">
        <v>0</v>
      </c>
      <c r="F111" s="198">
        <f t="shared" si="2"/>
        <v>0</v>
      </c>
      <c r="G111" s="198">
        <f t="shared" si="3"/>
        <v>0</v>
      </c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</row>
    <row r="112" spans="1:48" s="4" customFormat="1" ht="18" customHeight="1" thickBot="1" x14ac:dyDescent="0.35">
      <c r="A112" s="159" t="s">
        <v>107</v>
      </c>
      <c r="B112" s="144" t="s">
        <v>500</v>
      </c>
      <c r="C112" s="198">
        <v>17633</v>
      </c>
      <c r="D112" s="145">
        <v>9025</v>
      </c>
      <c r="E112" s="198">
        <v>0</v>
      </c>
      <c r="F112" s="198">
        <f t="shared" si="2"/>
        <v>0</v>
      </c>
      <c r="G112" s="198">
        <f t="shared" si="3"/>
        <v>0</v>
      </c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</row>
    <row r="113" spans="1:48" s="4" customFormat="1" ht="18" customHeight="1" thickBot="1" x14ac:dyDescent="0.35">
      <c r="A113" s="159" t="s">
        <v>108</v>
      </c>
      <c r="B113" s="144" t="s">
        <v>501</v>
      </c>
      <c r="C113" s="198">
        <v>428770</v>
      </c>
      <c r="D113" s="145">
        <v>9035</v>
      </c>
      <c r="E113" s="198">
        <v>0</v>
      </c>
      <c r="F113" s="198">
        <f t="shared" si="2"/>
        <v>0</v>
      </c>
      <c r="G113" s="198">
        <f t="shared" si="3"/>
        <v>0</v>
      </c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</row>
    <row r="114" spans="1:48" s="4" customFormat="1" ht="18" customHeight="1" thickBot="1" x14ac:dyDescent="0.35">
      <c r="A114" s="159" t="s">
        <v>109</v>
      </c>
      <c r="B114" s="144" t="s">
        <v>503</v>
      </c>
      <c r="C114" s="198">
        <v>20733</v>
      </c>
      <c r="D114" s="145">
        <v>9040</v>
      </c>
      <c r="E114" s="198">
        <v>0</v>
      </c>
      <c r="F114" s="198">
        <f t="shared" si="2"/>
        <v>0</v>
      </c>
      <c r="G114" s="198">
        <f t="shared" si="3"/>
        <v>0</v>
      </c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</row>
    <row r="115" spans="1:48" s="4" customFormat="1" ht="18" customHeight="1" thickBot="1" x14ac:dyDescent="0.35">
      <c r="A115" s="159" t="s">
        <v>110</v>
      </c>
      <c r="B115" s="144" t="s">
        <v>504</v>
      </c>
      <c r="C115" s="198">
        <v>23057</v>
      </c>
      <c r="D115" s="145">
        <v>9040</v>
      </c>
      <c r="E115" s="198">
        <v>0</v>
      </c>
      <c r="F115" s="198">
        <f t="shared" si="2"/>
        <v>0</v>
      </c>
      <c r="G115" s="198">
        <f t="shared" si="3"/>
        <v>0</v>
      </c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</row>
    <row r="116" spans="1:48" s="4" customFormat="1" ht="18" customHeight="1" thickBot="1" x14ac:dyDescent="0.35">
      <c r="A116" s="159" t="s">
        <v>111</v>
      </c>
      <c r="B116" s="144" t="s">
        <v>505</v>
      </c>
      <c r="C116" s="198">
        <v>8565</v>
      </c>
      <c r="D116" s="145">
        <v>9040</v>
      </c>
      <c r="E116" s="198">
        <v>0</v>
      </c>
      <c r="F116" s="198">
        <f t="shared" si="2"/>
        <v>0</v>
      </c>
      <c r="G116" s="198">
        <f t="shared" si="3"/>
        <v>0</v>
      </c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</row>
    <row r="117" spans="1:48" s="4" customFormat="1" ht="18" customHeight="1" thickBot="1" x14ac:dyDescent="0.35">
      <c r="A117" s="159" t="s">
        <v>112</v>
      </c>
      <c r="B117" s="144" t="s">
        <v>506</v>
      </c>
      <c r="C117" s="198">
        <v>15338</v>
      </c>
      <c r="D117" s="145"/>
      <c r="E117" s="198">
        <v>15338</v>
      </c>
      <c r="F117" s="198">
        <f t="shared" si="2"/>
        <v>15338</v>
      </c>
      <c r="G117" s="198">
        <f t="shared" si="3"/>
        <v>0</v>
      </c>
      <c r="H117" s="201"/>
      <c r="I117" s="201"/>
      <c r="J117" s="201"/>
      <c r="K117" s="201"/>
      <c r="L117" s="201"/>
      <c r="M117" s="201"/>
      <c r="N117" s="201"/>
      <c r="O117" s="201"/>
      <c r="P117" s="201">
        <v>15336</v>
      </c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>
        <v>2</v>
      </c>
      <c r="AB117" s="201"/>
      <c r="AC117" s="201"/>
      <c r="AD117" s="201"/>
      <c r="AE117" s="201"/>
      <c r="AF117" s="201"/>
      <c r="AG117" s="201"/>
      <c r="AH117" s="201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</row>
    <row r="118" spans="1:48" s="4" customFormat="1" ht="18" customHeight="1" thickBot="1" x14ac:dyDescent="0.35">
      <c r="A118" s="159" t="s">
        <v>113</v>
      </c>
      <c r="B118" s="144" t="s">
        <v>291</v>
      </c>
      <c r="C118" s="198">
        <v>71262</v>
      </c>
      <c r="D118" s="145"/>
      <c r="E118" s="198">
        <v>71262</v>
      </c>
      <c r="F118" s="198">
        <f t="shared" si="2"/>
        <v>71262</v>
      </c>
      <c r="G118" s="198">
        <f t="shared" si="3"/>
        <v>0</v>
      </c>
      <c r="H118" s="201"/>
      <c r="I118" s="201"/>
      <c r="J118" s="201"/>
      <c r="K118" s="201"/>
      <c r="L118" s="201"/>
      <c r="M118" s="201"/>
      <c r="N118" s="201"/>
      <c r="O118" s="201"/>
      <c r="P118" s="201"/>
      <c r="Q118" s="201">
        <v>70764</v>
      </c>
      <c r="R118" s="201"/>
      <c r="S118" s="201">
        <v>69</v>
      </c>
      <c r="T118" s="201"/>
      <c r="U118" s="201"/>
      <c r="V118" s="201"/>
      <c r="W118" s="201"/>
      <c r="X118" s="201"/>
      <c r="Y118" s="201"/>
      <c r="Z118" s="201">
        <v>429</v>
      </c>
      <c r="AA118" s="201"/>
      <c r="AB118" s="201"/>
      <c r="AC118" s="201"/>
      <c r="AD118" s="201"/>
      <c r="AE118" s="201"/>
      <c r="AF118" s="201"/>
      <c r="AG118" s="201"/>
      <c r="AH118" s="201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</row>
    <row r="119" spans="1:48" s="4" customFormat="1" ht="18" customHeight="1" thickBot="1" x14ac:dyDescent="0.35">
      <c r="A119" s="159" t="s">
        <v>114</v>
      </c>
      <c r="B119" s="144" t="s">
        <v>292</v>
      </c>
      <c r="C119" s="198">
        <v>4275032</v>
      </c>
      <c r="D119" s="145"/>
      <c r="E119" s="198">
        <v>4275032</v>
      </c>
      <c r="F119" s="198">
        <f t="shared" si="2"/>
        <v>4275032</v>
      </c>
      <c r="G119" s="198">
        <f t="shared" si="3"/>
        <v>0</v>
      </c>
      <c r="H119" s="201"/>
      <c r="I119" s="201"/>
      <c r="J119" s="201"/>
      <c r="K119" s="201"/>
      <c r="L119" s="201"/>
      <c r="M119" s="201"/>
      <c r="N119" s="201"/>
      <c r="O119" s="201">
        <v>1159106</v>
      </c>
      <c r="P119" s="201">
        <v>79887</v>
      </c>
      <c r="Q119" s="201">
        <v>564037</v>
      </c>
      <c r="R119" s="201">
        <v>481550</v>
      </c>
      <c r="S119" s="201"/>
      <c r="T119" s="201">
        <v>519420</v>
      </c>
      <c r="U119" s="201"/>
      <c r="V119" s="201"/>
      <c r="W119" s="201"/>
      <c r="X119" s="201"/>
      <c r="Y119" s="201"/>
      <c r="Z119" s="201">
        <f>549352.48+921679.52</f>
        <v>1471032</v>
      </c>
      <c r="AA119" s="201"/>
      <c r="AB119" s="201"/>
      <c r="AC119" s="201"/>
      <c r="AD119" s="201"/>
      <c r="AE119" s="201"/>
      <c r="AF119" s="201"/>
      <c r="AG119" s="201"/>
      <c r="AH119" s="201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</row>
    <row r="120" spans="1:48" s="4" customFormat="1" ht="18" customHeight="1" thickBot="1" x14ac:dyDescent="0.35">
      <c r="A120" s="159" t="s">
        <v>115</v>
      </c>
      <c r="B120" s="144" t="s">
        <v>508</v>
      </c>
      <c r="C120" s="198">
        <v>13154</v>
      </c>
      <c r="D120" s="145"/>
      <c r="E120" s="198">
        <v>13154</v>
      </c>
      <c r="F120" s="198">
        <f t="shared" si="2"/>
        <v>13154</v>
      </c>
      <c r="G120" s="198">
        <f t="shared" si="3"/>
        <v>0</v>
      </c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>
        <v>12689</v>
      </c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2"/>
      <c r="AJ120" s="202"/>
      <c r="AK120" s="202"/>
      <c r="AL120" s="202"/>
      <c r="AM120" s="202"/>
      <c r="AN120" s="202"/>
      <c r="AO120" s="202"/>
      <c r="AP120" s="202">
        <v>465</v>
      </c>
      <c r="AQ120" s="202"/>
      <c r="AR120" s="202"/>
      <c r="AS120" s="202"/>
      <c r="AT120" s="202"/>
      <c r="AU120" s="202"/>
      <c r="AV120" s="202"/>
    </row>
    <row r="121" spans="1:48" s="4" customFormat="1" ht="18" customHeight="1" thickBot="1" x14ac:dyDescent="0.35">
      <c r="A121" s="159" t="s">
        <v>116</v>
      </c>
      <c r="B121" s="144" t="s">
        <v>624</v>
      </c>
      <c r="C121" s="198">
        <v>327751</v>
      </c>
      <c r="D121" s="145"/>
      <c r="E121" s="198">
        <v>327751</v>
      </c>
      <c r="F121" s="198">
        <f t="shared" si="2"/>
        <v>327751</v>
      </c>
      <c r="G121" s="198">
        <f t="shared" si="3"/>
        <v>0</v>
      </c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>
        <v>265727</v>
      </c>
      <c r="T121" s="201"/>
      <c r="U121" s="201"/>
      <c r="V121" s="201"/>
      <c r="W121" s="201">
        <v>62024</v>
      </c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</row>
    <row r="122" spans="1:48" s="4" customFormat="1" ht="18" customHeight="1" thickBot="1" x14ac:dyDescent="0.35">
      <c r="A122" s="159" t="s">
        <v>117</v>
      </c>
      <c r="B122" s="144" t="s">
        <v>512</v>
      </c>
      <c r="C122" s="198">
        <v>900744</v>
      </c>
      <c r="D122" s="145"/>
      <c r="E122" s="198">
        <v>900744</v>
      </c>
      <c r="F122" s="198">
        <f t="shared" si="2"/>
        <v>900744</v>
      </c>
      <c r="G122" s="198">
        <f t="shared" si="3"/>
        <v>0</v>
      </c>
      <c r="H122" s="201"/>
      <c r="I122" s="201"/>
      <c r="J122" s="201"/>
      <c r="K122" s="201"/>
      <c r="L122" s="201"/>
      <c r="M122" s="201">
        <f>55392+50264+56467</f>
        <v>162123</v>
      </c>
      <c r="N122" s="201">
        <v>49591</v>
      </c>
      <c r="O122" s="201">
        <v>83405</v>
      </c>
      <c r="P122" s="201">
        <v>76447</v>
      </c>
      <c r="Q122" s="201">
        <v>66057</v>
      </c>
      <c r="R122" s="201">
        <v>81846</v>
      </c>
      <c r="S122" s="201">
        <v>284042</v>
      </c>
      <c r="T122" s="201">
        <v>3763.79</v>
      </c>
      <c r="U122" s="201"/>
      <c r="V122" s="201">
        <v>51818.37</v>
      </c>
      <c r="W122" s="201">
        <f>41649.63+1.21</f>
        <v>41650.839999999997</v>
      </c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</row>
    <row r="123" spans="1:48" s="4" customFormat="1" ht="18" customHeight="1" thickBot="1" x14ac:dyDescent="0.35">
      <c r="A123" s="159" t="s">
        <v>118</v>
      </c>
      <c r="B123" s="144" t="s">
        <v>625</v>
      </c>
      <c r="C123" s="198">
        <v>96952</v>
      </c>
      <c r="D123" s="145"/>
      <c r="E123" s="198">
        <v>96952</v>
      </c>
      <c r="F123" s="198">
        <f t="shared" si="2"/>
        <v>96952</v>
      </c>
      <c r="G123" s="198">
        <f t="shared" si="3"/>
        <v>0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>
        <v>56210</v>
      </c>
      <c r="S123" s="201">
        <v>35556</v>
      </c>
      <c r="T123" s="201"/>
      <c r="U123" s="201"/>
      <c r="V123" s="201">
        <v>5186</v>
      </c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</row>
    <row r="124" spans="1:48" s="4" customFormat="1" ht="18" customHeight="1" thickBot="1" x14ac:dyDescent="0.35">
      <c r="A124" s="159" t="s">
        <v>119</v>
      </c>
      <c r="B124" s="144" t="s">
        <v>515</v>
      </c>
      <c r="C124" s="198">
        <v>109801</v>
      </c>
      <c r="D124" s="145"/>
      <c r="E124" s="198">
        <v>109801</v>
      </c>
      <c r="F124" s="198">
        <f t="shared" si="2"/>
        <v>109801</v>
      </c>
      <c r="G124" s="198">
        <f t="shared" si="3"/>
        <v>0</v>
      </c>
      <c r="H124" s="201"/>
      <c r="I124" s="201"/>
      <c r="J124" s="201"/>
      <c r="K124" s="201"/>
      <c r="L124" s="201"/>
      <c r="M124" s="201">
        <v>19260</v>
      </c>
      <c r="N124" s="201"/>
      <c r="O124" s="201">
        <v>22212</v>
      </c>
      <c r="P124" s="201">
        <v>9533</v>
      </c>
      <c r="Q124" s="201">
        <v>25953</v>
      </c>
      <c r="R124" s="201">
        <v>16420</v>
      </c>
      <c r="S124" s="201">
        <v>16419</v>
      </c>
      <c r="T124" s="201"/>
      <c r="U124" s="201"/>
      <c r="V124" s="201"/>
      <c r="W124" s="201"/>
      <c r="X124" s="201"/>
      <c r="Y124" s="201">
        <v>4</v>
      </c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</row>
    <row r="125" spans="1:48" s="4" customFormat="1" ht="18" customHeight="1" thickBot="1" x14ac:dyDescent="0.35">
      <c r="A125" s="159" t="s">
        <v>120</v>
      </c>
      <c r="B125" s="144" t="s">
        <v>516</v>
      </c>
      <c r="C125" s="198">
        <v>1263103</v>
      </c>
      <c r="D125" s="145"/>
      <c r="E125" s="198">
        <v>1263103</v>
      </c>
      <c r="F125" s="198">
        <f t="shared" si="2"/>
        <v>1263103</v>
      </c>
      <c r="G125" s="198">
        <f t="shared" si="3"/>
        <v>0</v>
      </c>
      <c r="H125" s="201"/>
      <c r="I125" s="201"/>
      <c r="J125" s="201"/>
      <c r="K125" s="201"/>
      <c r="L125" s="201"/>
      <c r="M125" s="201"/>
      <c r="N125" s="201">
        <v>322539</v>
      </c>
      <c r="O125" s="201">
        <v>113045</v>
      </c>
      <c r="P125" s="201">
        <v>194639</v>
      </c>
      <c r="Q125" s="201"/>
      <c r="R125" s="201">
        <v>102441</v>
      </c>
      <c r="S125" s="201">
        <v>206395</v>
      </c>
      <c r="T125" s="201">
        <v>295768</v>
      </c>
      <c r="U125" s="201"/>
      <c r="V125" s="201"/>
      <c r="W125" s="201"/>
      <c r="X125" s="201"/>
      <c r="Y125" s="201"/>
      <c r="Z125" s="201">
        <v>28276</v>
      </c>
      <c r="AA125" s="201"/>
      <c r="AB125" s="201"/>
      <c r="AC125" s="201"/>
      <c r="AD125" s="201"/>
      <c r="AE125" s="201"/>
      <c r="AF125" s="201"/>
      <c r="AG125" s="201"/>
      <c r="AH125" s="201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</row>
    <row r="126" spans="1:48" s="4" customFormat="1" ht="18" customHeight="1" thickBot="1" x14ac:dyDescent="0.35">
      <c r="A126" s="159" t="s">
        <v>121</v>
      </c>
      <c r="B126" s="144" t="s">
        <v>518</v>
      </c>
      <c r="C126" s="198">
        <v>66290</v>
      </c>
      <c r="D126" s="145"/>
      <c r="E126" s="198">
        <v>66290</v>
      </c>
      <c r="F126" s="198">
        <f t="shared" si="2"/>
        <v>66290</v>
      </c>
      <c r="G126" s="198">
        <f t="shared" si="3"/>
        <v>0</v>
      </c>
      <c r="H126" s="201"/>
      <c r="I126" s="201"/>
      <c r="J126" s="201"/>
      <c r="K126" s="201"/>
      <c r="L126" s="201"/>
      <c r="M126" s="201"/>
      <c r="N126" s="201"/>
      <c r="O126" s="201">
        <v>27287</v>
      </c>
      <c r="P126" s="201">
        <v>6884</v>
      </c>
      <c r="Q126" s="201"/>
      <c r="R126" s="201"/>
      <c r="S126" s="201">
        <v>17809</v>
      </c>
      <c r="T126" s="201"/>
      <c r="U126" s="201">
        <v>13514</v>
      </c>
      <c r="V126" s="201"/>
      <c r="W126" s="201"/>
      <c r="X126" s="201">
        <v>796</v>
      </c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</row>
    <row r="127" spans="1:48" s="4" customFormat="1" ht="18" customHeight="1" thickBot="1" x14ac:dyDescent="0.35">
      <c r="A127" s="159" t="s">
        <v>122</v>
      </c>
      <c r="B127" s="144" t="s">
        <v>519</v>
      </c>
      <c r="C127" s="198">
        <v>181339</v>
      </c>
      <c r="D127" s="145">
        <v>9035</v>
      </c>
      <c r="E127" s="198">
        <v>0</v>
      </c>
      <c r="F127" s="198">
        <f t="shared" si="2"/>
        <v>0</v>
      </c>
      <c r="G127" s="198">
        <f t="shared" si="3"/>
        <v>0</v>
      </c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</row>
    <row r="128" spans="1:48" s="4" customFormat="1" ht="18" customHeight="1" thickBot="1" x14ac:dyDescent="0.35">
      <c r="A128" s="159" t="s">
        <v>123</v>
      </c>
      <c r="B128" s="144" t="s">
        <v>521</v>
      </c>
      <c r="C128" s="198">
        <v>533382</v>
      </c>
      <c r="D128" s="145"/>
      <c r="E128" s="198">
        <v>533382</v>
      </c>
      <c r="F128" s="198">
        <f t="shared" si="2"/>
        <v>533382</v>
      </c>
      <c r="G128" s="198">
        <f t="shared" si="3"/>
        <v>0</v>
      </c>
      <c r="H128" s="201"/>
      <c r="I128" s="201"/>
      <c r="J128" s="201"/>
      <c r="K128" s="201"/>
      <c r="L128" s="201">
        <f>46445+50522</f>
        <v>96967</v>
      </c>
      <c r="M128" s="201">
        <v>46024</v>
      </c>
      <c r="N128" s="201">
        <v>55020</v>
      </c>
      <c r="O128" s="201">
        <v>32974</v>
      </c>
      <c r="P128" s="201">
        <v>40016</v>
      </c>
      <c r="Q128" s="201">
        <v>38812</v>
      </c>
      <c r="R128" s="201">
        <v>40232</v>
      </c>
      <c r="S128" s="201">
        <v>44345</v>
      </c>
      <c r="T128" s="201"/>
      <c r="U128" s="201">
        <f>32925.18+48825</f>
        <v>81750.179999999993</v>
      </c>
      <c r="V128" s="201">
        <v>17100.02</v>
      </c>
      <c r="W128" s="201">
        <v>40141.800000000003</v>
      </c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</row>
    <row r="129" spans="1:48" s="4" customFormat="1" ht="18" customHeight="1" thickBot="1" x14ac:dyDescent="0.35">
      <c r="A129" s="159" t="s">
        <v>124</v>
      </c>
      <c r="B129" s="144" t="s">
        <v>522</v>
      </c>
      <c r="C129" s="198">
        <v>14375</v>
      </c>
      <c r="D129" s="145">
        <v>9035</v>
      </c>
      <c r="E129" s="198">
        <v>0</v>
      </c>
      <c r="F129" s="198">
        <f t="shared" si="2"/>
        <v>0</v>
      </c>
      <c r="G129" s="198">
        <f t="shared" si="3"/>
        <v>0</v>
      </c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</row>
    <row r="130" spans="1:48" s="4" customFormat="1" ht="18" customHeight="1" thickBot="1" x14ac:dyDescent="0.35">
      <c r="A130" s="159" t="s">
        <v>125</v>
      </c>
      <c r="B130" s="144" t="s">
        <v>523</v>
      </c>
      <c r="C130" s="198">
        <v>110131</v>
      </c>
      <c r="D130" s="145">
        <v>9035</v>
      </c>
      <c r="E130" s="198">
        <v>0</v>
      </c>
      <c r="F130" s="198">
        <f t="shared" si="2"/>
        <v>0</v>
      </c>
      <c r="G130" s="198">
        <f t="shared" si="3"/>
        <v>0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</row>
    <row r="131" spans="1:48" s="4" customFormat="1" ht="18" customHeight="1" thickBot="1" x14ac:dyDescent="0.35">
      <c r="A131" s="159" t="s">
        <v>126</v>
      </c>
      <c r="B131" s="144" t="s">
        <v>304</v>
      </c>
      <c r="C131" s="198">
        <v>626747</v>
      </c>
      <c r="D131" s="145"/>
      <c r="E131" s="198">
        <v>626747</v>
      </c>
      <c r="F131" s="198">
        <f t="shared" si="2"/>
        <v>626747</v>
      </c>
      <c r="G131" s="198">
        <f t="shared" si="3"/>
        <v>0</v>
      </c>
      <c r="H131" s="201"/>
      <c r="I131" s="201"/>
      <c r="J131" s="201"/>
      <c r="K131" s="201"/>
      <c r="L131" s="201"/>
      <c r="M131" s="201"/>
      <c r="N131" s="201"/>
      <c r="O131" s="201"/>
      <c r="P131" s="201"/>
      <c r="Q131" s="201">
        <v>415930</v>
      </c>
      <c r="R131" s="201"/>
      <c r="S131" s="201">
        <v>190404</v>
      </c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>
        <v>20413</v>
      </c>
      <c r="AD131" s="201"/>
      <c r="AE131" s="201"/>
      <c r="AF131" s="201"/>
      <c r="AG131" s="201"/>
      <c r="AH131" s="201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</row>
    <row r="132" spans="1:48" s="4" customFormat="1" ht="18" customHeight="1" thickBot="1" x14ac:dyDescent="0.35">
      <c r="A132" s="159" t="s">
        <v>127</v>
      </c>
      <c r="B132" s="144" t="s">
        <v>305</v>
      </c>
      <c r="C132" s="198">
        <v>439895</v>
      </c>
      <c r="D132" s="145"/>
      <c r="E132" s="198">
        <v>439895</v>
      </c>
      <c r="F132" s="198">
        <f t="shared" si="2"/>
        <v>439895</v>
      </c>
      <c r="G132" s="198">
        <f t="shared" si="3"/>
        <v>0</v>
      </c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>
        <v>329425</v>
      </c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>
        <v>110470</v>
      </c>
      <c r="AD132" s="201"/>
      <c r="AE132" s="201"/>
      <c r="AF132" s="201"/>
      <c r="AG132" s="201"/>
      <c r="AH132" s="201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</row>
    <row r="133" spans="1:48" s="4" customFormat="1" ht="18" customHeight="1" thickBot="1" x14ac:dyDescent="0.35">
      <c r="A133" s="159" t="s">
        <v>128</v>
      </c>
      <c r="B133" s="144" t="s">
        <v>306</v>
      </c>
      <c r="C133" s="198">
        <v>87316</v>
      </c>
      <c r="D133" s="145"/>
      <c r="E133" s="198">
        <v>87316</v>
      </c>
      <c r="F133" s="198">
        <f t="shared" si="2"/>
        <v>87316</v>
      </c>
      <c r="G133" s="198">
        <f t="shared" si="3"/>
        <v>0</v>
      </c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>
        <v>87316</v>
      </c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</row>
    <row r="134" spans="1:48" s="4" customFormat="1" ht="18" customHeight="1" thickBot="1" x14ac:dyDescent="0.35">
      <c r="A134" s="159" t="s">
        <v>129</v>
      </c>
      <c r="B134" s="144" t="s">
        <v>307</v>
      </c>
      <c r="C134" s="198">
        <v>96763</v>
      </c>
      <c r="D134" s="145"/>
      <c r="E134" s="198">
        <v>96763</v>
      </c>
      <c r="F134" s="198">
        <f t="shared" si="2"/>
        <v>96763</v>
      </c>
      <c r="G134" s="198">
        <f t="shared" si="3"/>
        <v>0</v>
      </c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>
        <v>96008</v>
      </c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>
        <v>755</v>
      </c>
      <c r="AF134" s="201"/>
      <c r="AG134" s="201"/>
      <c r="AH134" s="201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</row>
    <row r="135" spans="1:48" s="4" customFormat="1" ht="18" customHeight="1" thickBot="1" x14ac:dyDescent="0.35">
      <c r="A135" s="159" t="s">
        <v>130</v>
      </c>
      <c r="B135" s="144" t="s">
        <v>308</v>
      </c>
      <c r="C135" s="198">
        <v>25884</v>
      </c>
      <c r="D135" s="145"/>
      <c r="E135" s="198">
        <v>25884</v>
      </c>
      <c r="F135" s="198">
        <f t="shared" si="2"/>
        <v>25884</v>
      </c>
      <c r="G135" s="198">
        <f t="shared" si="3"/>
        <v>0</v>
      </c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74">
        <v>25881</v>
      </c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2"/>
      <c r="AJ135" s="202"/>
      <c r="AK135" s="202"/>
      <c r="AL135" s="202"/>
      <c r="AM135" s="202"/>
      <c r="AN135" s="202"/>
      <c r="AO135" s="202"/>
      <c r="AP135" s="202">
        <v>3</v>
      </c>
      <c r="AQ135" s="202"/>
      <c r="AR135" s="202"/>
      <c r="AS135" s="202"/>
      <c r="AT135" s="202"/>
      <c r="AU135" s="202"/>
      <c r="AV135" s="202"/>
    </row>
    <row r="136" spans="1:48" s="4" customFormat="1" ht="18" customHeight="1" thickBot="1" x14ac:dyDescent="0.35">
      <c r="A136" s="159" t="s">
        <v>131</v>
      </c>
      <c r="B136" s="144" t="s">
        <v>309</v>
      </c>
      <c r="C136" s="198">
        <v>68394</v>
      </c>
      <c r="D136" s="145"/>
      <c r="E136" s="198">
        <v>68394</v>
      </c>
      <c r="F136" s="198">
        <f t="shared" si="2"/>
        <v>68394</v>
      </c>
      <c r="G136" s="198">
        <f t="shared" si="3"/>
        <v>0</v>
      </c>
      <c r="H136" s="201"/>
      <c r="I136" s="201"/>
      <c r="J136" s="201"/>
      <c r="K136" s="201"/>
      <c r="L136" s="201"/>
      <c r="M136" s="201">
        <f>5061+10122</f>
        <v>15183</v>
      </c>
      <c r="N136" s="201">
        <v>5061</v>
      </c>
      <c r="O136" s="201">
        <v>5060</v>
      </c>
      <c r="P136" s="201">
        <v>5061</v>
      </c>
      <c r="Q136" s="201">
        <v>5061</v>
      </c>
      <c r="R136" s="201">
        <v>16484</v>
      </c>
      <c r="S136" s="201">
        <v>16484</v>
      </c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</row>
    <row r="137" spans="1:48" s="4" customFormat="1" ht="18" customHeight="1" thickBot="1" x14ac:dyDescent="0.35">
      <c r="A137" s="159" t="s">
        <v>132</v>
      </c>
      <c r="B137" s="144" t="s">
        <v>310</v>
      </c>
      <c r="C137" s="198">
        <v>24972</v>
      </c>
      <c r="D137" s="145"/>
      <c r="E137" s="198">
        <v>24972</v>
      </c>
      <c r="F137" s="198">
        <f t="shared" si="2"/>
        <v>24972</v>
      </c>
      <c r="G137" s="198">
        <f t="shared" si="3"/>
        <v>0</v>
      </c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>
        <v>24972</v>
      </c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</row>
    <row r="138" spans="1:48" s="4" customFormat="1" ht="18" customHeight="1" thickBot="1" x14ac:dyDescent="0.35">
      <c r="A138" s="159" t="s">
        <v>133</v>
      </c>
      <c r="B138" s="144" t="s">
        <v>311</v>
      </c>
      <c r="C138" s="198">
        <v>38484</v>
      </c>
      <c r="D138" s="145"/>
      <c r="E138" s="198">
        <v>38484</v>
      </c>
      <c r="F138" s="198">
        <f t="shared" si="2"/>
        <v>38484</v>
      </c>
      <c r="G138" s="198">
        <f t="shared" si="3"/>
        <v>0</v>
      </c>
      <c r="H138" s="201"/>
      <c r="I138" s="201"/>
      <c r="J138" s="201"/>
      <c r="K138" s="201"/>
      <c r="L138" s="201"/>
      <c r="M138" s="201"/>
      <c r="N138" s="201"/>
      <c r="O138" s="201">
        <v>36513</v>
      </c>
      <c r="P138" s="201"/>
      <c r="Q138" s="201"/>
      <c r="R138" s="201">
        <v>1847</v>
      </c>
      <c r="S138" s="201"/>
      <c r="T138" s="201"/>
      <c r="U138" s="201"/>
      <c r="V138" s="201"/>
      <c r="W138" s="201"/>
      <c r="X138" s="201"/>
      <c r="Y138" s="201"/>
      <c r="Z138" s="201"/>
      <c r="AA138" s="201">
        <v>124</v>
      </c>
      <c r="AB138" s="201"/>
      <c r="AC138" s="201"/>
      <c r="AD138" s="201"/>
      <c r="AE138" s="201"/>
      <c r="AF138" s="201"/>
      <c r="AG138" s="201"/>
      <c r="AH138" s="201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</row>
    <row r="139" spans="1:48" s="4" customFormat="1" ht="18" customHeight="1" thickBot="1" x14ac:dyDescent="0.35">
      <c r="A139" s="159" t="s">
        <v>134</v>
      </c>
      <c r="B139" s="144" t="s">
        <v>312</v>
      </c>
      <c r="C139" s="198">
        <v>127733</v>
      </c>
      <c r="D139" s="145"/>
      <c r="E139" s="198">
        <v>127733</v>
      </c>
      <c r="F139" s="198">
        <f t="shared" si="2"/>
        <v>127733</v>
      </c>
      <c r="G139" s="198">
        <f t="shared" si="3"/>
        <v>0</v>
      </c>
      <c r="H139" s="201"/>
      <c r="I139" s="201"/>
      <c r="J139" s="201"/>
      <c r="K139" s="201"/>
      <c r="L139" s="201"/>
      <c r="M139" s="201"/>
      <c r="N139" s="201"/>
      <c r="O139" s="201">
        <v>50934</v>
      </c>
      <c r="P139" s="201"/>
      <c r="Q139" s="201"/>
      <c r="R139" s="201">
        <v>30970</v>
      </c>
      <c r="S139" s="201">
        <v>45829</v>
      </c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</row>
    <row r="140" spans="1:48" s="4" customFormat="1" ht="18" customHeight="1" thickBot="1" x14ac:dyDescent="0.35">
      <c r="A140" s="159" t="s">
        <v>135</v>
      </c>
      <c r="B140" s="144" t="s">
        <v>527</v>
      </c>
      <c r="C140" s="198">
        <v>111099</v>
      </c>
      <c r="D140" s="145"/>
      <c r="E140" s="198">
        <v>111099</v>
      </c>
      <c r="F140" s="198">
        <f t="shared" si="2"/>
        <v>111099</v>
      </c>
      <c r="G140" s="198">
        <f t="shared" si="3"/>
        <v>0</v>
      </c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>
        <v>94985</v>
      </c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>
        <v>16114</v>
      </c>
      <c r="AF140" s="201"/>
      <c r="AG140" s="201"/>
      <c r="AH140" s="201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</row>
    <row r="141" spans="1:48" s="4" customFormat="1" ht="18" customHeight="1" thickBot="1" x14ac:dyDescent="0.35">
      <c r="A141" s="159" t="s">
        <v>136</v>
      </c>
      <c r="B141" s="144" t="s">
        <v>528</v>
      </c>
      <c r="C141" s="198">
        <v>88120</v>
      </c>
      <c r="D141" s="145"/>
      <c r="E141" s="198">
        <v>88120</v>
      </c>
      <c r="F141" s="198">
        <f t="shared" ref="F141:F194" si="4">SUM(H141:AQ141)</f>
        <v>88120</v>
      </c>
      <c r="G141" s="198">
        <f t="shared" si="3"/>
        <v>0</v>
      </c>
      <c r="H141" s="201"/>
      <c r="I141" s="201"/>
      <c r="J141" s="201"/>
      <c r="K141" s="201"/>
      <c r="L141" s="201"/>
      <c r="M141" s="201">
        <v>92268</v>
      </c>
      <c r="N141" s="201"/>
      <c r="O141" s="201">
        <v>-4148</v>
      </c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</row>
    <row r="142" spans="1:48" s="4" customFormat="1" ht="18" customHeight="1" thickBot="1" x14ac:dyDescent="0.35">
      <c r="A142" s="159" t="s">
        <v>137</v>
      </c>
      <c r="B142" s="144" t="s">
        <v>530</v>
      </c>
      <c r="C142" s="198">
        <v>28876</v>
      </c>
      <c r="D142" s="145">
        <v>9040</v>
      </c>
      <c r="E142" s="198">
        <v>0</v>
      </c>
      <c r="F142" s="198">
        <f t="shared" si="4"/>
        <v>0</v>
      </c>
      <c r="G142" s="198">
        <f t="shared" ref="G142:G194" si="5">E142-(F142+AU142+AV142)</f>
        <v>0</v>
      </c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</row>
    <row r="143" spans="1:48" s="4" customFormat="1" ht="18" customHeight="1" thickBot="1" x14ac:dyDescent="0.35">
      <c r="A143" s="159" t="s">
        <v>138</v>
      </c>
      <c r="B143" s="144" t="s">
        <v>316</v>
      </c>
      <c r="C143" s="198">
        <v>39044</v>
      </c>
      <c r="D143" s="145"/>
      <c r="E143" s="198">
        <v>39044</v>
      </c>
      <c r="F143" s="198">
        <f t="shared" si="4"/>
        <v>39044</v>
      </c>
      <c r="G143" s="198">
        <f t="shared" si="5"/>
        <v>0</v>
      </c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>
        <v>39041</v>
      </c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2"/>
      <c r="AJ143" s="202"/>
      <c r="AK143" s="202"/>
      <c r="AL143" s="202"/>
      <c r="AM143" s="202">
        <v>3</v>
      </c>
      <c r="AN143" s="202"/>
      <c r="AO143" s="202"/>
      <c r="AP143" s="202"/>
      <c r="AQ143" s="202"/>
      <c r="AR143" s="202"/>
      <c r="AS143" s="202"/>
      <c r="AT143" s="202"/>
      <c r="AU143" s="202"/>
      <c r="AV143" s="202"/>
    </row>
    <row r="144" spans="1:48" s="4" customFormat="1" ht="18" customHeight="1" thickBot="1" x14ac:dyDescent="0.35">
      <c r="A144" s="159" t="s">
        <v>139</v>
      </c>
      <c r="B144" s="144" t="s">
        <v>532</v>
      </c>
      <c r="C144" s="198">
        <v>54662</v>
      </c>
      <c r="D144" s="145"/>
      <c r="E144" s="198">
        <v>54662</v>
      </c>
      <c r="F144" s="198">
        <f t="shared" si="4"/>
        <v>54662</v>
      </c>
      <c r="G144" s="198">
        <f t="shared" si="5"/>
        <v>0</v>
      </c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>
        <v>27036</v>
      </c>
      <c r="S144" s="201"/>
      <c r="T144" s="201">
        <v>27331</v>
      </c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2"/>
      <c r="AJ144" s="202">
        <v>295</v>
      </c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</row>
    <row r="145" spans="1:48" s="4" customFormat="1" ht="18" customHeight="1" thickBot="1" x14ac:dyDescent="0.35">
      <c r="A145" s="159" t="s">
        <v>140</v>
      </c>
      <c r="B145" s="144" t="s">
        <v>534</v>
      </c>
      <c r="C145" s="198">
        <v>463819</v>
      </c>
      <c r="D145" s="145"/>
      <c r="E145" s="198">
        <v>463819</v>
      </c>
      <c r="F145" s="198">
        <f t="shared" si="4"/>
        <v>463819</v>
      </c>
      <c r="G145" s="198">
        <f t="shared" si="5"/>
        <v>0</v>
      </c>
      <c r="H145" s="201"/>
      <c r="I145" s="201"/>
      <c r="J145" s="201"/>
      <c r="K145" s="201"/>
      <c r="L145" s="201"/>
      <c r="M145" s="201">
        <f>32819+40550</f>
        <v>73369</v>
      </c>
      <c r="N145" s="201">
        <v>38062</v>
      </c>
      <c r="O145" s="201">
        <v>37152</v>
      </c>
      <c r="P145" s="201">
        <v>39043</v>
      </c>
      <c r="Q145" s="201">
        <v>38066</v>
      </c>
      <c r="R145" s="201">
        <f>38062+38557</f>
        <v>76619</v>
      </c>
      <c r="S145" s="201">
        <v>37880</v>
      </c>
      <c r="T145" s="201"/>
      <c r="U145" s="201">
        <v>111518</v>
      </c>
      <c r="V145" s="201"/>
      <c r="W145" s="201"/>
      <c r="X145" s="201"/>
      <c r="Y145" s="201">
        <v>12110</v>
      </c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</row>
    <row r="146" spans="1:48" s="4" customFormat="1" ht="18" customHeight="1" thickBot="1" x14ac:dyDescent="0.35">
      <c r="A146" s="159" t="s">
        <v>141</v>
      </c>
      <c r="B146" s="144" t="s">
        <v>535</v>
      </c>
      <c r="C146" s="198">
        <v>73057</v>
      </c>
      <c r="D146" s="145"/>
      <c r="E146" s="198">
        <v>73057</v>
      </c>
      <c r="F146" s="198">
        <f t="shared" si="4"/>
        <v>73057</v>
      </c>
      <c r="G146" s="198">
        <f t="shared" si="5"/>
        <v>0</v>
      </c>
      <c r="H146" s="201"/>
      <c r="I146" s="201"/>
      <c r="J146" s="201"/>
      <c r="K146" s="201"/>
      <c r="L146" s="201"/>
      <c r="M146" s="203"/>
      <c r="N146" s="201"/>
      <c r="O146" s="201"/>
      <c r="P146" s="201"/>
      <c r="Q146" s="201">
        <v>73054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>
        <v>3</v>
      </c>
      <c r="AB146" s="201"/>
      <c r="AC146" s="201"/>
      <c r="AD146" s="201"/>
      <c r="AE146" s="201"/>
      <c r="AF146" s="201"/>
      <c r="AG146" s="201"/>
      <c r="AH146" s="201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</row>
    <row r="147" spans="1:48" s="4" customFormat="1" ht="18" customHeight="1" thickBot="1" x14ac:dyDescent="0.35">
      <c r="A147" s="159" t="s">
        <v>142</v>
      </c>
      <c r="B147" s="144" t="s">
        <v>536</v>
      </c>
      <c r="C147" s="198">
        <v>36795</v>
      </c>
      <c r="D147" s="145"/>
      <c r="E147" s="198">
        <v>36795</v>
      </c>
      <c r="F147" s="198">
        <f t="shared" si="4"/>
        <v>36795</v>
      </c>
      <c r="G147" s="198">
        <f t="shared" si="5"/>
        <v>0</v>
      </c>
      <c r="H147" s="201"/>
      <c r="I147" s="201"/>
      <c r="J147" s="201"/>
      <c r="K147" s="201"/>
      <c r="L147" s="201"/>
      <c r="M147" s="201">
        <v>5918</v>
      </c>
      <c r="N147" s="201">
        <v>5258</v>
      </c>
      <c r="O147" s="201"/>
      <c r="P147" s="201"/>
      <c r="Q147" s="201">
        <v>6706</v>
      </c>
      <c r="R147" s="201"/>
      <c r="S147" s="201">
        <v>12781</v>
      </c>
      <c r="T147" s="201"/>
      <c r="U147" s="201"/>
      <c r="V147" s="201">
        <v>5371</v>
      </c>
      <c r="W147" s="201"/>
      <c r="X147" s="201"/>
      <c r="Y147" s="201"/>
      <c r="Z147" s="201"/>
      <c r="AA147" s="201">
        <v>761</v>
      </c>
      <c r="AB147" s="201"/>
      <c r="AC147" s="201"/>
      <c r="AD147" s="201"/>
      <c r="AE147" s="201"/>
      <c r="AF147" s="201"/>
      <c r="AG147" s="201"/>
      <c r="AH147" s="201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</row>
    <row r="148" spans="1:48" s="4" customFormat="1" ht="18" customHeight="1" thickBot="1" x14ac:dyDescent="0.35">
      <c r="A148" s="159" t="s">
        <v>143</v>
      </c>
      <c r="B148" s="144" t="s">
        <v>321</v>
      </c>
      <c r="C148" s="198">
        <v>5890050</v>
      </c>
      <c r="D148" s="145"/>
      <c r="E148" s="198">
        <v>5890050</v>
      </c>
      <c r="F148" s="198">
        <f t="shared" si="4"/>
        <v>5890050</v>
      </c>
      <c r="G148" s="198">
        <f t="shared" si="5"/>
        <v>0</v>
      </c>
      <c r="H148" s="201"/>
      <c r="I148" s="201"/>
      <c r="J148" s="201"/>
      <c r="K148" s="201"/>
      <c r="L148" s="201">
        <v>321451</v>
      </c>
      <c r="M148" s="201">
        <v>717194</v>
      </c>
      <c r="N148" s="201">
        <v>457222</v>
      </c>
      <c r="O148" s="201"/>
      <c r="P148" s="201">
        <f>481662+557720</f>
        <v>1039382</v>
      </c>
      <c r="Q148" s="203"/>
      <c r="R148" s="201">
        <v>475593</v>
      </c>
      <c r="S148" s="201">
        <f>541063+571658</f>
        <v>1112721</v>
      </c>
      <c r="T148" s="201"/>
      <c r="U148" s="201"/>
      <c r="V148" s="201"/>
      <c r="W148" s="201"/>
      <c r="X148" s="201">
        <f>1214262+552225</f>
        <v>1766487</v>
      </c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</row>
    <row r="149" spans="1:48" s="4" customFormat="1" ht="18" customHeight="1" thickBot="1" x14ac:dyDescent="0.35">
      <c r="A149" s="159" t="s">
        <v>144</v>
      </c>
      <c r="B149" s="144" t="s">
        <v>538</v>
      </c>
      <c r="C149" s="198">
        <v>1084536</v>
      </c>
      <c r="D149" s="145"/>
      <c r="E149" s="198">
        <v>1084536</v>
      </c>
      <c r="F149" s="198">
        <f t="shared" si="4"/>
        <v>1084536</v>
      </c>
      <c r="G149" s="198">
        <f t="shared" si="5"/>
        <v>0</v>
      </c>
      <c r="H149" s="201"/>
      <c r="I149" s="201"/>
      <c r="J149" s="201"/>
      <c r="K149" s="201"/>
      <c r="L149" s="201"/>
      <c r="M149" s="201">
        <v>13593</v>
      </c>
      <c r="N149" s="201">
        <v>76600</v>
      </c>
      <c r="O149" s="201"/>
      <c r="P149" s="201">
        <v>74704</v>
      </c>
      <c r="Q149" s="201">
        <f>83958+78698</f>
        <v>162656</v>
      </c>
      <c r="R149" s="201">
        <v>81677</v>
      </c>
      <c r="S149" s="201">
        <v>127243</v>
      </c>
      <c r="T149" s="201">
        <v>128704</v>
      </c>
      <c r="U149" s="201">
        <v>89236</v>
      </c>
      <c r="V149" s="201"/>
      <c r="W149" s="201"/>
      <c r="X149" s="201">
        <v>258778.75</v>
      </c>
      <c r="Y149" s="201">
        <v>63117.87</v>
      </c>
      <c r="Z149" s="201">
        <v>8226.3799999999992</v>
      </c>
      <c r="AA149" s="201"/>
      <c r="AB149" s="201"/>
      <c r="AC149" s="201"/>
      <c r="AD149" s="201"/>
      <c r="AE149" s="201"/>
      <c r="AF149" s="201"/>
      <c r="AG149" s="201"/>
      <c r="AH149" s="201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</row>
    <row r="150" spans="1:48" s="4" customFormat="1" ht="18" customHeight="1" thickBot="1" x14ac:dyDescent="0.35">
      <c r="A150" s="159" t="s">
        <v>145</v>
      </c>
      <c r="B150" s="144" t="s">
        <v>323</v>
      </c>
      <c r="C150" s="198">
        <v>96271</v>
      </c>
      <c r="D150" s="145"/>
      <c r="E150" s="198">
        <v>96271</v>
      </c>
      <c r="F150" s="198">
        <f t="shared" si="4"/>
        <v>96271</v>
      </c>
      <c r="G150" s="198">
        <f t="shared" si="5"/>
        <v>0</v>
      </c>
      <c r="H150" s="201"/>
      <c r="I150" s="201"/>
      <c r="J150" s="201"/>
      <c r="K150" s="201"/>
      <c r="L150" s="201">
        <v>31214</v>
      </c>
      <c r="M150" s="201"/>
      <c r="N150" s="201">
        <v>16071</v>
      </c>
      <c r="O150" s="201"/>
      <c r="P150" s="201"/>
      <c r="Q150" s="201">
        <v>24107</v>
      </c>
      <c r="R150" s="201"/>
      <c r="S150" s="201">
        <v>23950</v>
      </c>
      <c r="T150" s="201"/>
      <c r="U150" s="201"/>
      <c r="V150" s="201"/>
      <c r="W150" s="201">
        <v>929</v>
      </c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</row>
    <row r="151" spans="1:48" s="4" customFormat="1" ht="18" customHeight="1" thickBot="1" x14ac:dyDescent="0.35">
      <c r="A151" s="159" t="s">
        <v>146</v>
      </c>
      <c r="B151" s="144" t="s">
        <v>541</v>
      </c>
      <c r="C151" s="198">
        <v>41133</v>
      </c>
      <c r="D151" s="145"/>
      <c r="E151" s="198">
        <v>41133</v>
      </c>
      <c r="F151" s="198">
        <f t="shared" si="4"/>
        <v>41133</v>
      </c>
      <c r="G151" s="198">
        <f t="shared" si="5"/>
        <v>0</v>
      </c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>
        <v>41133</v>
      </c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</row>
    <row r="152" spans="1:48" s="4" customFormat="1" ht="18" customHeight="1" thickBot="1" x14ac:dyDescent="0.35">
      <c r="A152" s="159" t="s">
        <v>147</v>
      </c>
      <c r="B152" s="144" t="s">
        <v>325</v>
      </c>
      <c r="C152" s="198">
        <v>243076</v>
      </c>
      <c r="D152" s="145"/>
      <c r="E152" s="198">
        <v>243076</v>
      </c>
      <c r="F152" s="198">
        <f t="shared" si="4"/>
        <v>243076</v>
      </c>
      <c r="G152" s="198">
        <f t="shared" si="5"/>
        <v>0</v>
      </c>
      <c r="H152" s="201"/>
      <c r="I152" s="201"/>
      <c r="J152" s="201"/>
      <c r="K152" s="201"/>
      <c r="L152" s="201"/>
      <c r="M152" s="201"/>
      <c r="N152" s="201">
        <v>65136</v>
      </c>
      <c r="O152" s="201"/>
      <c r="P152" s="201"/>
      <c r="Q152" s="201"/>
      <c r="R152" s="201"/>
      <c r="S152" s="201">
        <v>110662</v>
      </c>
      <c r="T152" s="201"/>
      <c r="U152" s="201"/>
      <c r="V152" s="201">
        <f>28262.32+211.99+15000</f>
        <v>43474.31</v>
      </c>
      <c r="W152" s="201"/>
      <c r="X152" s="201"/>
      <c r="Y152" s="201"/>
      <c r="Z152" s="201"/>
      <c r="AA152" s="201"/>
      <c r="AB152" s="201">
        <v>23803.69</v>
      </c>
      <c r="AC152" s="201"/>
      <c r="AD152" s="201"/>
      <c r="AE152" s="201"/>
      <c r="AF152" s="201"/>
      <c r="AG152" s="201"/>
      <c r="AH152" s="201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</row>
    <row r="153" spans="1:48" s="4" customFormat="1" ht="18" customHeight="1" thickBot="1" x14ac:dyDescent="0.35">
      <c r="A153" s="159" t="s">
        <v>148</v>
      </c>
      <c r="B153" s="144" t="s">
        <v>326</v>
      </c>
      <c r="C153" s="198">
        <v>286620</v>
      </c>
      <c r="D153" s="145"/>
      <c r="E153" s="198">
        <v>286620</v>
      </c>
      <c r="F153" s="198">
        <f t="shared" si="4"/>
        <v>286620</v>
      </c>
      <c r="G153" s="198">
        <f t="shared" si="5"/>
        <v>0</v>
      </c>
      <c r="H153" s="201"/>
      <c r="I153" s="201"/>
      <c r="J153" s="201"/>
      <c r="K153" s="201"/>
      <c r="L153" s="201">
        <v>2628</v>
      </c>
      <c r="M153" s="201">
        <v>30410</v>
      </c>
      <c r="N153" s="201">
        <v>27158</v>
      </c>
      <c r="O153" s="201">
        <v>27636</v>
      </c>
      <c r="P153" s="201">
        <v>27394</v>
      </c>
      <c r="Q153" s="201">
        <v>27930</v>
      </c>
      <c r="R153" s="201">
        <v>27633</v>
      </c>
      <c r="S153" s="201">
        <v>27587</v>
      </c>
      <c r="T153" s="201">
        <v>26141</v>
      </c>
      <c r="U153" s="201">
        <v>25894</v>
      </c>
      <c r="V153" s="201">
        <v>25951</v>
      </c>
      <c r="W153" s="201">
        <v>10258</v>
      </c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</row>
    <row r="154" spans="1:48" s="4" customFormat="1" ht="18" customHeight="1" thickBot="1" x14ac:dyDescent="0.35">
      <c r="A154" s="159" t="s">
        <v>149</v>
      </c>
      <c r="B154" s="144" t="s">
        <v>543</v>
      </c>
      <c r="C154" s="198">
        <v>47246</v>
      </c>
      <c r="D154" s="145"/>
      <c r="E154" s="198">
        <v>47246</v>
      </c>
      <c r="F154" s="198">
        <f t="shared" si="4"/>
        <v>47246</v>
      </c>
      <c r="G154" s="198">
        <f t="shared" si="5"/>
        <v>0</v>
      </c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>
        <v>41512</v>
      </c>
      <c r="S154" s="201">
        <v>5734</v>
      </c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</row>
    <row r="155" spans="1:48" s="4" customFormat="1" ht="18" customHeight="1" thickBot="1" x14ac:dyDescent="0.35">
      <c r="A155" s="159" t="s">
        <v>150</v>
      </c>
      <c r="B155" s="144" t="s">
        <v>544</v>
      </c>
      <c r="C155" s="198">
        <v>44495</v>
      </c>
      <c r="D155" s="145"/>
      <c r="E155" s="198">
        <v>44495</v>
      </c>
      <c r="F155" s="198">
        <f t="shared" si="4"/>
        <v>44495</v>
      </c>
      <c r="G155" s="198">
        <f t="shared" si="5"/>
        <v>0</v>
      </c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>
        <v>44489</v>
      </c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>
        <v>6</v>
      </c>
      <c r="AF155" s="201"/>
      <c r="AG155" s="201"/>
      <c r="AH155" s="201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</row>
    <row r="156" spans="1:48" s="4" customFormat="1" ht="18" customHeight="1" thickBot="1" x14ac:dyDescent="0.35">
      <c r="A156" s="159" t="s">
        <v>151</v>
      </c>
      <c r="B156" s="144" t="s">
        <v>546</v>
      </c>
      <c r="C156" s="198">
        <v>123104</v>
      </c>
      <c r="D156" s="145"/>
      <c r="E156" s="198">
        <v>123104</v>
      </c>
      <c r="F156" s="198">
        <f t="shared" si="4"/>
        <v>123104</v>
      </c>
      <c r="G156" s="198">
        <f t="shared" si="5"/>
        <v>0</v>
      </c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>
        <v>123104</v>
      </c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</row>
    <row r="157" spans="1:48" s="4" customFormat="1" ht="18" customHeight="1" thickBot="1" x14ac:dyDescent="0.35">
      <c r="A157" s="159" t="s">
        <v>152</v>
      </c>
      <c r="B157" s="144" t="s">
        <v>330</v>
      </c>
      <c r="C157" s="198">
        <v>127940</v>
      </c>
      <c r="D157" s="145"/>
      <c r="E157" s="198">
        <v>127940</v>
      </c>
      <c r="F157" s="198">
        <f t="shared" si="4"/>
        <v>127940</v>
      </c>
      <c r="G157" s="198">
        <f t="shared" si="5"/>
        <v>0</v>
      </c>
      <c r="H157" s="201"/>
      <c r="I157" s="201"/>
      <c r="J157" s="201"/>
      <c r="K157" s="201"/>
      <c r="L157" s="201"/>
      <c r="M157" s="201">
        <v>9566</v>
      </c>
      <c r="N157" s="201"/>
      <c r="O157" s="201"/>
      <c r="P157" s="201"/>
      <c r="Q157" s="201"/>
      <c r="R157" s="201"/>
      <c r="T157" s="201">
        <v>118374</v>
      </c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</row>
    <row r="158" spans="1:48" s="4" customFormat="1" ht="18" customHeight="1" thickBot="1" x14ac:dyDescent="0.35">
      <c r="A158" s="159" t="s">
        <v>153</v>
      </c>
      <c r="B158" s="144" t="s">
        <v>331</v>
      </c>
      <c r="C158" s="198">
        <v>84027</v>
      </c>
      <c r="D158" s="145"/>
      <c r="E158" s="198">
        <v>84027</v>
      </c>
      <c r="F158" s="198">
        <f t="shared" si="4"/>
        <v>84027</v>
      </c>
      <c r="G158" s="198">
        <f t="shared" si="5"/>
        <v>0</v>
      </c>
      <c r="H158" s="201"/>
      <c r="I158" s="201"/>
      <c r="J158" s="201"/>
      <c r="K158" s="201"/>
      <c r="L158" s="201"/>
      <c r="M158" s="201"/>
      <c r="N158" s="201"/>
      <c r="O158" s="201"/>
      <c r="P158" s="201">
        <v>84017</v>
      </c>
      <c r="Q158" s="201"/>
      <c r="R158" s="201"/>
      <c r="S158" s="201"/>
      <c r="T158" s="201">
        <v>10</v>
      </c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</row>
    <row r="159" spans="1:48" s="4" customFormat="1" ht="18" customHeight="1" thickBot="1" x14ac:dyDescent="0.35">
      <c r="A159" s="159" t="s">
        <v>154</v>
      </c>
      <c r="B159" s="144" t="s">
        <v>332</v>
      </c>
      <c r="C159" s="198">
        <v>127761</v>
      </c>
      <c r="D159" s="145"/>
      <c r="E159" s="198">
        <v>127761</v>
      </c>
      <c r="F159" s="198">
        <f t="shared" si="4"/>
        <v>127761</v>
      </c>
      <c r="G159" s="198">
        <f t="shared" si="5"/>
        <v>0</v>
      </c>
      <c r="H159" s="201"/>
      <c r="I159" s="201"/>
      <c r="J159" s="201"/>
      <c r="K159" s="201"/>
      <c r="L159" s="201"/>
      <c r="M159" s="201">
        <v>15320</v>
      </c>
      <c r="N159" s="201"/>
      <c r="O159" s="201">
        <v>35032</v>
      </c>
      <c r="P159" s="201">
        <v>20626</v>
      </c>
      <c r="Q159" s="201">
        <v>10564</v>
      </c>
      <c r="R159" s="201">
        <v>12589</v>
      </c>
      <c r="S159" s="201">
        <v>17617</v>
      </c>
      <c r="T159" s="201">
        <v>4355</v>
      </c>
      <c r="U159" s="201">
        <f>1105+3228</f>
        <v>4333</v>
      </c>
      <c r="V159" s="201">
        <v>7325</v>
      </c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</row>
    <row r="160" spans="1:48" s="4" customFormat="1" ht="18" customHeight="1" thickBot="1" x14ac:dyDescent="0.35">
      <c r="A160" s="159" t="s">
        <v>155</v>
      </c>
      <c r="B160" s="144" t="s">
        <v>550</v>
      </c>
      <c r="C160" s="198">
        <v>410369</v>
      </c>
      <c r="D160" s="145"/>
      <c r="E160" s="198">
        <v>410369</v>
      </c>
      <c r="F160" s="198">
        <f t="shared" si="4"/>
        <v>410369</v>
      </c>
      <c r="G160" s="198">
        <f t="shared" si="5"/>
        <v>0</v>
      </c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>
        <v>319090</v>
      </c>
      <c r="T160" s="201">
        <v>91279</v>
      </c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</row>
    <row r="161" spans="1:48" s="4" customFormat="1" ht="18" customHeight="1" thickBot="1" x14ac:dyDescent="0.35">
      <c r="A161" s="159" t="s">
        <v>156</v>
      </c>
      <c r="B161" s="144" t="s">
        <v>334</v>
      </c>
      <c r="C161" s="198">
        <v>20750</v>
      </c>
      <c r="D161" s="145"/>
      <c r="E161" s="198">
        <v>20750</v>
      </c>
      <c r="F161" s="198">
        <f t="shared" si="4"/>
        <v>20750</v>
      </c>
      <c r="G161" s="198">
        <f t="shared" si="5"/>
        <v>0</v>
      </c>
      <c r="H161" s="201"/>
      <c r="I161" s="201"/>
      <c r="J161" s="201"/>
      <c r="K161" s="201"/>
      <c r="L161" s="201"/>
      <c r="M161" s="201">
        <v>6889</v>
      </c>
      <c r="N161" s="201"/>
      <c r="O161" s="201"/>
      <c r="P161" s="201">
        <f>9373+3066</f>
        <v>12439</v>
      </c>
      <c r="Q161" s="201">
        <v>1067</v>
      </c>
      <c r="R161" s="201"/>
      <c r="S161" s="201">
        <v>355</v>
      </c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</row>
    <row r="162" spans="1:48" s="4" customFormat="1" ht="18" customHeight="1" thickBot="1" x14ac:dyDescent="0.35">
      <c r="A162" s="159" t="s">
        <v>157</v>
      </c>
      <c r="B162" s="144" t="s">
        <v>335</v>
      </c>
      <c r="C162" s="198">
        <v>70279</v>
      </c>
      <c r="D162" s="145"/>
      <c r="E162" s="198">
        <v>70279</v>
      </c>
      <c r="F162" s="198">
        <f t="shared" si="4"/>
        <v>70279</v>
      </c>
      <c r="G162" s="198">
        <f t="shared" si="5"/>
        <v>0</v>
      </c>
      <c r="H162" s="201"/>
      <c r="I162" s="201"/>
      <c r="J162" s="201"/>
      <c r="K162" s="201"/>
      <c r="L162" s="201"/>
      <c r="M162" s="201"/>
      <c r="N162" s="201"/>
      <c r="O162" s="201"/>
      <c r="P162" s="201"/>
      <c r="Q162" s="201">
        <v>35140</v>
      </c>
      <c r="R162" s="201"/>
      <c r="S162" s="201">
        <v>35139</v>
      </c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</row>
    <row r="163" spans="1:48" s="4" customFormat="1" ht="18" customHeight="1" thickBot="1" x14ac:dyDescent="0.35">
      <c r="A163" s="159" t="s">
        <v>158</v>
      </c>
      <c r="B163" s="144" t="s">
        <v>336</v>
      </c>
      <c r="C163" s="198">
        <v>61576</v>
      </c>
      <c r="D163" s="145"/>
      <c r="E163" s="198">
        <v>61576</v>
      </c>
      <c r="F163" s="198">
        <f t="shared" si="4"/>
        <v>61576</v>
      </c>
      <c r="G163" s="198">
        <f t="shared" si="5"/>
        <v>0</v>
      </c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>
        <v>61125</v>
      </c>
      <c r="T163" s="201"/>
      <c r="U163" s="201"/>
      <c r="V163" s="201"/>
      <c r="W163" s="201"/>
      <c r="X163" s="201"/>
      <c r="Y163" s="201"/>
      <c r="Z163" s="201"/>
      <c r="AA163" s="201">
        <v>451</v>
      </c>
      <c r="AB163" s="201"/>
      <c r="AC163" s="201"/>
      <c r="AD163" s="201"/>
      <c r="AE163" s="201"/>
      <c r="AF163" s="201"/>
      <c r="AG163" s="201"/>
      <c r="AH163" s="201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</row>
    <row r="164" spans="1:48" s="4" customFormat="1" ht="18" customHeight="1" thickBot="1" x14ac:dyDescent="0.35">
      <c r="A164" s="159" t="s">
        <v>159</v>
      </c>
      <c r="B164" s="144" t="s">
        <v>553</v>
      </c>
      <c r="C164" s="198">
        <v>80681</v>
      </c>
      <c r="D164" s="145">
        <v>9040</v>
      </c>
      <c r="E164" s="198">
        <v>0</v>
      </c>
      <c r="F164" s="198">
        <f t="shared" si="4"/>
        <v>0</v>
      </c>
      <c r="G164" s="198">
        <f t="shared" si="5"/>
        <v>0</v>
      </c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</row>
    <row r="165" spans="1:48" s="4" customFormat="1" ht="18" customHeight="1" thickBot="1" x14ac:dyDescent="0.35">
      <c r="A165" s="159" t="s">
        <v>160</v>
      </c>
      <c r="B165" s="144" t="s">
        <v>402</v>
      </c>
      <c r="C165" s="198">
        <v>25161</v>
      </c>
      <c r="D165" s="145">
        <v>9040</v>
      </c>
      <c r="E165" s="198">
        <v>0</v>
      </c>
      <c r="F165" s="198">
        <f t="shared" si="4"/>
        <v>0</v>
      </c>
      <c r="G165" s="198">
        <f t="shared" si="5"/>
        <v>0</v>
      </c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</row>
    <row r="166" spans="1:48" s="4" customFormat="1" ht="18" customHeight="1" thickBot="1" x14ac:dyDescent="0.35">
      <c r="A166" s="159" t="s">
        <v>161</v>
      </c>
      <c r="B166" s="144" t="s">
        <v>556</v>
      </c>
      <c r="C166" s="198">
        <v>244699</v>
      </c>
      <c r="D166" s="145"/>
      <c r="E166" s="198">
        <v>244699</v>
      </c>
      <c r="F166" s="198">
        <f t="shared" si="4"/>
        <v>244699</v>
      </c>
      <c r="G166" s="198">
        <f t="shared" si="5"/>
        <v>0</v>
      </c>
      <c r="H166" s="201"/>
      <c r="I166" s="201"/>
      <c r="J166" s="201"/>
      <c r="K166" s="201"/>
      <c r="L166" s="201">
        <v>47482</v>
      </c>
      <c r="M166" s="201">
        <v>23741</v>
      </c>
      <c r="N166" s="201">
        <v>23741</v>
      </c>
      <c r="O166" s="201">
        <v>23741</v>
      </c>
      <c r="P166" s="201">
        <v>23740</v>
      </c>
      <c r="Q166" s="201">
        <v>22184</v>
      </c>
      <c r="R166" s="201">
        <v>17670</v>
      </c>
      <c r="S166" s="201">
        <v>21828</v>
      </c>
      <c r="T166" s="201">
        <v>17671</v>
      </c>
      <c r="U166" s="201">
        <v>22901</v>
      </c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</row>
    <row r="167" spans="1:48" s="4" customFormat="1" ht="18" customHeight="1" thickBot="1" x14ac:dyDescent="0.35">
      <c r="A167" s="159" t="s">
        <v>162</v>
      </c>
      <c r="B167" s="144" t="s">
        <v>558</v>
      </c>
      <c r="C167" s="198">
        <v>91687</v>
      </c>
      <c r="D167" s="145"/>
      <c r="E167" s="198">
        <v>91687</v>
      </c>
      <c r="F167" s="198">
        <f t="shared" si="4"/>
        <v>91687</v>
      </c>
      <c r="G167" s="198">
        <f t="shared" si="5"/>
        <v>0</v>
      </c>
      <c r="H167" s="201"/>
      <c r="I167" s="201"/>
      <c r="J167" s="201"/>
      <c r="K167" s="201"/>
      <c r="L167" s="201"/>
      <c r="M167" s="201"/>
      <c r="N167" s="201">
        <v>26044</v>
      </c>
      <c r="O167" s="201"/>
      <c r="P167" s="201">
        <v>10975</v>
      </c>
      <c r="Q167" s="201"/>
      <c r="R167" s="201">
        <v>19880</v>
      </c>
      <c r="S167" s="201">
        <v>7420</v>
      </c>
      <c r="T167" s="201"/>
      <c r="U167" s="201">
        <v>18414</v>
      </c>
      <c r="V167" s="201"/>
      <c r="W167" s="201">
        <v>6027</v>
      </c>
      <c r="X167" s="201"/>
      <c r="Y167" s="201">
        <v>2927</v>
      </c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</row>
    <row r="168" spans="1:48" s="4" customFormat="1" ht="18" customHeight="1" thickBot="1" x14ac:dyDescent="0.35">
      <c r="A168" s="159" t="s">
        <v>163</v>
      </c>
      <c r="B168" s="144" t="s">
        <v>560</v>
      </c>
      <c r="C168" s="198">
        <v>273810</v>
      </c>
      <c r="D168" s="145"/>
      <c r="E168" s="198">
        <v>273810</v>
      </c>
      <c r="F168" s="198">
        <f t="shared" si="4"/>
        <v>273810</v>
      </c>
      <c r="G168" s="198">
        <f t="shared" si="5"/>
        <v>0</v>
      </c>
      <c r="H168" s="201"/>
      <c r="I168" s="201"/>
      <c r="J168" s="201"/>
      <c r="K168" s="201"/>
      <c r="L168" s="201"/>
      <c r="M168" s="201"/>
      <c r="N168" s="203"/>
      <c r="O168" s="201">
        <v>151924</v>
      </c>
      <c r="P168" s="201"/>
      <c r="Q168" s="201"/>
      <c r="R168" s="201"/>
      <c r="S168" s="201">
        <v>121886</v>
      </c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</row>
    <row r="169" spans="1:48" s="4" customFormat="1" ht="18" customHeight="1" thickBot="1" x14ac:dyDescent="0.35">
      <c r="A169" s="159" t="s">
        <v>164</v>
      </c>
      <c r="B169" s="144" t="s">
        <v>341</v>
      </c>
      <c r="C169" s="198">
        <v>69321</v>
      </c>
      <c r="D169" s="145"/>
      <c r="E169" s="198">
        <v>69321</v>
      </c>
      <c r="F169" s="198">
        <f t="shared" si="4"/>
        <v>69321</v>
      </c>
      <c r="G169" s="198">
        <f t="shared" si="5"/>
        <v>0</v>
      </c>
      <c r="H169" s="201"/>
      <c r="I169" s="201"/>
      <c r="J169" s="201"/>
      <c r="K169" s="201"/>
      <c r="L169" s="201"/>
      <c r="M169" s="201"/>
      <c r="N169" s="201">
        <v>33832</v>
      </c>
      <c r="O169" s="201"/>
      <c r="P169" s="201"/>
      <c r="Q169" s="201"/>
      <c r="R169" s="201"/>
      <c r="S169" s="201">
        <v>20072</v>
      </c>
      <c r="T169" s="201">
        <v>3574</v>
      </c>
      <c r="U169" s="201"/>
      <c r="V169" s="201"/>
      <c r="W169" s="201"/>
      <c r="X169" s="201"/>
      <c r="Y169" s="201"/>
      <c r="Z169" s="201">
        <v>11843</v>
      </c>
      <c r="AA169" s="201"/>
      <c r="AB169" s="201"/>
      <c r="AC169" s="201"/>
      <c r="AD169" s="201"/>
      <c r="AE169" s="201"/>
      <c r="AF169" s="201"/>
      <c r="AG169" s="201"/>
      <c r="AH169" s="201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</row>
    <row r="170" spans="1:48" s="4" customFormat="1" ht="18" customHeight="1" thickBot="1" x14ac:dyDescent="0.35">
      <c r="A170" s="159" t="s">
        <v>165</v>
      </c>
      <c r="B170" s="144" t="s">
        <v>342</v>
      </c>
      <c r="C170" s="198">
        <v>18488</v>
      </c>
      <c r="D170" s="145">
        <v>9025</v>
      </c>
      <c r="E170" s="198">
        <v>0</v>
      </c>
      <c r="F170" s="198">
        <f t="shared" si="4"/>
        <v>0</v>
      </c>
      <c r="G170" s="198">
        <f t="shared" si="5"/>
        <v>0</v>
      </c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</row>
    <row r="171" spans="1:48" s="4" customFormat="1" ht="18" customHeight="1" thickBot="1" x14ac:dyDescent="0.35">
      <c r="A171" s="159" t="s">
        <v>166</v>
      </c>
      <c r="B171" s="144" t="s">
        <v>343</v>
      </c>
      <c r="C171" s="198">
        <v>23244</v>
      </c>
      <c r="D171" s="145">
        <v>9040</v>
      </c>
      <c r="E171" s="198">
        <v>0</v>
      </c>
      <c r="F171" s="198">
        <f t="shared" si="4"/>
        <v>0</v>
      </c>
      <c r="G171" s="198">
        <f t="shared" si="5"/>
        <v>0</v>
      </c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</row>
    <row r="172" spans="1:48" s="4" customFormat="1" ht="18" customHeight="1" thickBot="1" x14ac:dyDescent="0.35">
      <c r="A172" s="159" t="s">
        <v>167</v>
      </c>
      <c r="B172" s="144" t="s">
        <v>344</v>
      </c>
      <c r="C172" s="198">
        <v>616</v>
      </c>
      <c r="D172" s="145">
        <v>9040</v>
      </c>
      <c r="E172" s="198">
        <v>0</v>
      </c>
      <c r="F172" s="198">
        <f t="shared" si="4"/>
        <v>0</v>
      </c>
      <c r="G172" s="198">
        <f t="shared" si="5"/>
        <v>0</v>
      </c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</row>
    <row r="173" spans="1:48" s="4" customFormat="1" ht="18" customHeight="1" thickBot="1" x14ac:dyDescent="0.35">
      <c r="A173" s="159" t="s">
        <v>168</v>
      </c>
      <c r="B173" s="144" t="s">
        <v>345</v>
      </c>
      <c r="C173" s="198">
        <v>28401</v>
      </c>
      <c r="D173" s="145">
        <v>9025</v>
      </c>
      <c r="E173" s="198">
        <v>0</v>
      </c>
      <c r="F173" s="198">
        <f t="shared" si="4"/>
        <v>0</v>
      </c>
      <c r="G173" s="198">
        <f t="shared" si="5"/>
        <v>0</v>
      </c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</row>
    <row r="174" spans="1:48" s="4" customFormat="1" ht="18" customHeight="1" thickBot="1" x14ac:dyDescent="0.35">
      <c r="A174" s="159" t="s">
        <v>169</v>
      </c>
      <c r="B174" s="144" t="s">
        <v>562</v>
      </c>
      <c r="C174" s="198">
        <v>309057</v>
      </c>
      <c r="D174" s="145">
        <v>9035</v>
      </c>
      <c r="E174" s="198">
        <v>0</v>
      </c>
      <c r="F174" s="198">
        <f t="shared" si="4"/>
        <v>0</v>
      </c>
      <c r="G174" s="198">
        <f t="shared" si="5"/>
        <v>0</v>
      </c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</row>
    <row r="175" spans="1:48" s="4" customFormat="1" ht="18" customHeight="1" thickBot="1" x14ac:dyDescent="0.35">
      <c r="A175" s="159" t="s">
        <v>170</v>
      </c>
      <c r="B175" s="144" t="s">
        <v>564</v>
      </c>
      <c r="C175" s="198">
        <v>136301</v>
      </c>
      <c r="D175" s="145"/>
      <c r="E175" s="198">
        <v>136301</v>
      </c>
      <c r="F175" s="198">
        <f t="shared" si="4"/>
        <v>136301</v>
      </c>
      <c r="G175" s="198">
        <f t="shared" si="5"/>
        <v>0</v>
      </c>
      <c r="H175" s="201"/>
      <c r="I175" s="201"/>
      <c r="J175" s="201"/>
      <c r="K175" s="201"/>
      <c r="L175" s="201"/>
      <c r="M175" s="201"/>
      <c r="N175" s="201"/>
      <c r="O175" s="201">
        <v>56772</v>
      </c>
      <c r="P175" s="201"/>
      <c r="Q175" s="201"/>
      <c r="R175" s="201">
        <v>79420</v>
      </c>
      <c r="S175" s="201"/>
      <c r="T175" s="201"/>
      <c r="U175" s="201"/>
      <c r="V175" s="201">
        <v>109</v>
      </c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</row>
    <row r="176" spans="1:48" s="4" customFormat="1" ht="18" customHeight="1" thickBot="1" x14ac:dyDescent="0.35">
      <c r="A176" s="159" t="s">
        <v>171</v>
      </c>
      <c r="B176" s="144" t="s">
        <v>403</v>
      </c>
      <c r="C176" s="198">
        <v>487865</v>
      </c>
      <c r="D176" s="145"/>
      <c r="E176" s="198">
        <v>487865</v>
      </c>
      <c r="F176" s="198">
        <f t="shared" si="4"/>
        <v>487865</v>
      </c>
      <c r="G176" s="198">
        <f t="shared" si="5"/>
        <v>0</v>
      </c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>
        <v>352219</v>
      </c>
      <c r="T176" s="201">
        <v>135646</v>
      </c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</row>
    <row r="177" spans="1:48" s="4" customFormat="1" ht="18" customHeight="1" thickBot="1" x14ac:dyDescent="0.35">
      <c r="A177" s="159" t="s">
        <v>172</v>
      </c>
      <c r="B177" s="144" t="s">
        <v>565</v>
      </c>
      <c r="C177" s="198">
        <v>256781</v>
      </c>
      <c r="D177" s="145"/>
      <c r="E177" s="198">
        <v>256781</v>
      </c>
      <c r="F177" s="198">
        <f t="shared" si="4"/>
        <v>256781</v>
      </c>
      <c r="G177" s="198">
        <f t="shared" si="5"/>
        <v>0</v>
      </c>
      <c r="H177" s="201"/>
      <c r="I177" s="201"/>
      <c r="J177" s="201"/>
      <c r="K177" s="201"/>
      <c r="L177" s="201">
        <v>35219</v>
      </c>
      <c r="M177" s="201">
        <v>21380</v>
      </c>
      <c r="N177" s="201"/>
      <c r="O177" s="201">
        <v>42726</v>
      </c>
      <c r="P177" s="201"/>
      <c r="Q177" s="201">
        <v>43803</v>
      </c>
      <c r="R177" s="201">
        <v>21427</v>
      </c>
      <c r="S177" s="201">
        <v>21573</v>
      </c>
      <c r="T177" s="201">
        <v>21483.84</v>
      </c>
      <c r="U177" s="201"/>
      <c r="V177" s="201">
        <v>42404.02</v>
      </c>
      <c r="W177" s="201"/>
      <c r="X177" s="201">
        <v>6765.14</v>
      </c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</row>
    <row r="178" spans="1:48" s="4" customFormat="1" ht="18" customHeight="1" thickBot="1" x14ac:dyDescent="0.35">
      <c r="A178" s="159" t="s">
        <v>173</v>
      </c>
      <c r="B178" s="144" t="s">
        <v>566</v>
      </c>
      <c r="C178" s="198">
        <v>220302</v>
      </c>
      <c r="D178" s="145"/>
      <c r="E178" s="198">
        <v>220302</v>
      </c>
      <c r="F178" s="198">
        <f t="shared" si="4"/>
        <v>220302</v>
      </c>
      <c r="G178" s="198">
        <f t="shared" si="5"/>
        <v>0</v>
      </c>
      <c r="H178" s="201"/>
      <c r="I178" s="201"/>
      <c r="J178" s="201"/>
      <c r="K178" s="201"/>
      <c r="L178" s="201"/>
      <c r="M178" s="201">
        <v>104529</v>
      </c>
      <c r="N178" s="201"/>
      <c r="O178" s="201"/>
      <c r="P178" s="201">
        <v>61973</v>
      </c>
      <c r="Q178" s="201"/>
      <c r="R178" s="201"/>
      <c r="S178" s="201">
        <v>53222</v>
      </c>
      <c r="T178" s="201"/>
      <c r="U178" s="201"/>
      <c r="V178" s="201"/>
      <c r="W178" s="201"/>
      <c r="X178" s="201"/>
      <c r="Y178" s="201">
        <v>578</v>
      </c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</row>
    <row r="179" spans="1:48" s="4" customFormat="1" ht="18" customHeight="1" thickBot="1" x14ac:dyDescent="0.35">
      <c r="A179" s="159" t="s">
        <v>174</v>
      </c>
      <c r="B179" s="144" t="s">
        <v>350</v>
      </c>
      <c r="C179" s="198">
        <v>4363827</v>
      </c>
      <c r="D179" s="145"/>
      <c r="E179" s="198">
        <v>4363827</v>
      </c>
      <c r="F179" s="198">
        <f t="shared" si="4"/>
        <v>4363827</v>
      </c>
      <c r="G179" s="198">
        <f t="shared" si="5"/>
        <v>0</v>
      </c>
      <c r="H179" s="201"/>
      <c r="I179" s="201"/>
      <c r="J179" s="201"/>
      <c r="K179" s="201"/>
      <c r="L179" s="201">
        <v>174035</v>
      </c>
      <c r="M179" s="201">
        <v>295822</v>
      </c>
      <c r="N179" s="201"/>
      <c r="O179" s="201">
        <v>687472</v>
      </c>
      <c r="P179" s="201">
        <v>413875</v>
      </c>
      <c r="Q179" s="201">
        <v>297810</v>
      </c>
      <c r="R179" s="201">
        <v>424792</v>
      </c>
      <c r="S179" s="235">
        <v>353328.45</v>
      </c>
      <c r="T179" s="201">
        <v>417870.68</v>
      </c>
      <c r="U179" s="201"/>
      <c r="V179" s="201"/>
      <c r="W179" s="201">
        <f>650876.83</f>
        <v>650876.82999999996</v>
      </c>
      <c r="X179" s="201">
        <v>647945.04</v>
      </c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</row>
    <row r="180" spans="1:48" s="4" customFormat="1" ht="18" customHeight="1" thickBot="1" x14ac:dyDescent="0.35">
      <c r="A180" s="159" t="s">
        <v>175</v>
      </c>
      <c r="B180" s="144" t="s">
        <v>567</v>
      </c>
      <c r="C180" s="198">
        <v>128981</v>
      </c>
      <c r="D180" s="145">
        <v>9035</v>
      </c>
      <c r="E180" s="198">
        <v>0</v>
      </c>
      <c r="F180" s="198">
        <f t="shared" si="4"/>
        <v>0</v>
      </c>
      <c r="G180" s="198">
        <f t="shared" si="5"/>
        <v>0</v>
      </c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</row>
    <row r="181" spans="1:48" s="4" customFormat="1" ht="18" customHeight="1" thickBot="1" x14ac:dyDescent="0.35">
      <c r="A181" s="159" t="s">
        <v>176</v>
      </c>
      <c r="B181" s="144" t="s">
        <v>568</v>
      </c>
      <c r="C181" s="198">
        <v>396195</v>
      </c>
      <c r="D181" s="145"/>
      <c r="E181" s="198">
        <v>396195</v>
      </c>
      <c r="F181" s="198">
        <f t="shared" si="4"/>
        <v>396195</v>
      </c>
      <c r="G181" s="198">
        <f t="shared" si="5"/>
        <v>0</v>
      </c>
      <c r="H181" s="201"/>
      <c r="I181" s="201"/>
      <c r="J181" s="201"/>
      <c r="K181" s="201"/>
      <c r="L181" s="201"/>
      <c r="M181" s="201"/>
      <c r="N181" s="201">
        <v>26762</v>
      </c>
      <c r="O181" s="201">
        <v>29299</v>
      </c>
      <c r="P181" s="201"/>
      <c r="Q181" s="201">
        <f>29299+29174</f>
        <v>58473</v>
      </c>
      <c r="R181" s="201">
        <v>69755</v>
      </c>
      <c r="S181" s="201">
        <f>33125+29221</f>
        <v>62346</v>
      </c>
      <c r="T181" s="201"/>
      <c r="U181" s="201"/>
      <c r="V181" s="201">
        <v>29070</v>
      </c>
      <c r="W181" s="201">
        <f>30000+64356</f>
        <v>94356</v>
      </c>
      <c r="X181" s="201">
        <f>200</f>
        <v>200</v>
      </c>
      <c r="Y181" s="201">
        <v>25934</v>
      </c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</row>
    <row r="182" spans="1:48" s="4" customFormat="1" ht="18" customHeight="1" thickBot="1" x14ac:dyDescent="0.35">
      <c r="A182" s="159" t="s">
        <v>177</v>
      </c>
      <c r="B182" s="144" t="s">
        <v>569</v>
      </c>
      <c r="C182" s="198">
        <v>149681</v>
      </c>
      <c r="D182" s="145"/>
      <c r="E182" s="198">
        <v>149681</v>
      </c>
      <c r="F182" s="198">
        <f t="shared" si="4"/>
        <v>149681</v>
      </c>
      <c r="G182" s="198">
        <f t="shared" si="5"/>
        <v>0</v>
      </c>
      <c r="H182" s="201"/>
      <c r="I182" s="201"/>
      <c r="J182" s="201"/>
      <c r="K182" s="201"/>
      <c r="L182" s="201"/>
      <c r="M182" s="201"/>
      <c r="N182" s="201"/>
      <c r="O182" s="201"/>
      <c r="P182" s="201">
        <v>59668</v>
      </c>
      <c r="Q182" s="201">
        <v>26892</v>
      </c>
      <c r="R182" s="201"/>
      <c r="S182" s="201">
        <v>17236</v>
      </c>
      <c r="T182" s="201"/>
      <c r="U182" s="201">
        <v>15526</v>
      </c>
      <c r="V182" s="201">
        <v>6714.33</v>
      </c>
      <c r="W182" s="201"/>
      <c r="X182" s="201"/>
      <c r="Y182" s="201"/>
      <c r="Z182" s="201"/>
      <c r="AA182" s="201"/>
      <c r="AB182" s="201">
        <v>23644.67</v>
      </c>
      <c r="AC182" s="201"/>
      <c r="AD182" s="201"/>
      <c r="AE182" s="201"/>
      <c r="AF182" s="201"/>
      <c r="AG182" s="201"/>
      <c r="AH182" s="201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</row>
    <row r="183" spans="1:48" s="4" customFormat="1" ht="18" customHeight="1" thickBot="1" x14ac:dyDescent="0.35">
      <c r="A183" s="159" t="s">
        <v>178</v>
      </c>
      <c r="B183" s="144" t="s">
        <v>570</v>
      </c>
      <c r="C183" s="198">
        <v>12778</v>
      </c>
      <c r="D183" s="145">
        <v>9035</v>
      </c>
      <c r="E183" s="198">
        <v>0</v>
      </c>
      <c r="F183" s="198">
        <f t="shared" si="4"/>
        <v>0</v>
      </c>
      <c r="G183" s="198">
        <f t="shared" si="5"/>
        <v>0</v>
      </c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</row>
    <row r="184" spans="1:48" s="4" customFormat="1" ht="18" customHeight="1" thickBot="1" x14ac:dyDescent="0.35">
      <c r="A184" s="159" t="s">
        <v>179</v>
      </c>
      <c r="B184" s="144" t="s">
        <v>355</v>
      </c>
      <c r="C184" s="198">
        <v>0</v>
      </c>
      <c r="D184" s="145" t="s">
        <v>372</v>
      </c>
      <c r="E184" s="198">
        <v>0</v>
      </c>
      <c r="F184" s="198">
        <f t="shared" si="4"/>
        <v>0</v>
      </c>
      <c r="G184" s="198">
        <f t="shared" si="5"/>
        <v>0</v>
      </c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</row>
    <row r="185" spans="1:48" s="4" customFormat="1" ht="18" customHeight="1" thickBot="1" x14ac:dyDescent="0.35">
      <c r="A185" s="159" t="s">
        <v>180</v>
      </c>
      <c r="B185" s="144" t="s">
        <v>572</v>
      </c>
      <c r="C185" s="198">
        <v>17529</v>
      </c>
      <c r="D185" s="145">
        <v>9035</v>
      </c>
      <c r="E185" s="198">
        <v>0</v>
      </c>
      <c r="F185" s="198">
        <f t="shared" si="4"/>
        <v>0</v>
      </c>
      <c r="G185" s="198">
        <f t="shared" si="5"/>
        <v>0</v>
      </c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</row>
    <row r="186" spans="1:48" s="4" customFormat="1" ht="18" customHeight="1" thickBot="1" x14ac:dyDescent="0.35">
      <c r="A186" s="159" t="s">
        <v>181</v>
      </c>
      <c r="B186" s="144" t="s">
        <v>357</v>
      </c>
      <c r="C186" s="198">
        <v>143681</v>
      </c>
      <c r="D186" s="145"/>
      <c r="E186" s="198">
        <v>143681</v>
      </c>
      <c r="F186" s="198">
        <f t="shared" si="4"/>
        <v>143681</v>
      </c>
      <c r="G186" s="198">
        <f t="shared" si="5"/>
        <v>0</v>
      </c>
      <c r="H186" s="201"/>
      <c r="I186" s="201"/>
      <c r="J186" s="201"/>
      <c r="K186" s="201"/>
      <c r="L186" s="201"/>
      <c r="M186" s="201"/>
      <c r="N186" s="201"/>
      <c r="O186" s="201">
        <v>74007</v>
      </c>
      <c r="P186" s="201"/>
      <c r="Q186" s="201"/>
      <c r="R186" s="201"/>
      <c r="S186" s="201">
        <v>53004</v>
      </c>
      <c r="T186" s="201"/>
      <c r="U186" s="201"/>
      <c r="V186" s="201"/>
      <c r="W186" s="201"/>
      <c r="X186" s="201"/>
      <c r="Y186" s="201"/>
      <c r="Z186" s="201"/>
      <c r="AA186" s="201"/>
      <c r="AB186" s="201">
        <v>16670</v>
      </c>
      <c r="AC186" s="201"/>
      <c r="AD186" s="201"/>
      <c r="AE186" s="201"/>
      <c r="AF186" s="201"/>
      <c r="AG186" s="201"/>
      <c r="AH186" s="201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</row>
    <row r="187" spans="1:48" s="4" customFormat="1" ht="18" customHeight="1" thickBot="1" x14ac:dyDescent="0.35">
      <c r="A187" s="159" t="s">
        <v>182</v>
      </c>
      <c r="B187" s="144" t="s">
        <v>358</v>
      </c>
      <c r="C187" s="198">
        <v>118905</v>
      </c>
      <c r="D187" s="145"/>
      <c r="E187" s="198">
        <v>118905</v>
      </c>
      <c r="F187" s="198">
        <f t="shared" si="4"/>
        <v>118905</v>
      </c>
      <c r="G187" s="198">
        <f t="shared" si="5"/>
        <v>0</v>
      </c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>
        <v>113082</v>
      </c>
      <c r="T187" s="201">
        <v>5000</v>
      </c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>
        <v>823</v>
      </c>
      <c r="AF187" s="201"/>
      <c r="AG187" s="201"/>
      <c r="AH187" s="201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</row>
    <row r="188" spans="1:48" s="4" customFormat="1" ht="18" customHeight="1" thickBot="1" x14ac:dyDescent="0.35">
      <c r="A188" s="159" t="s">
        <v>183</v>
      </c>
      <c r="B188" s="144" t="s">
        <v>359</v>
      </c>
      <c r="C188" s="198">
        <v>33664</v>
      </c>
      <c r="D188" s="145">
        <v>9025</v>
      </c>
      <c r="E188" s="198">
        <v>0</v>
      </c>
      <c r="F188" s="198">
        <f t="shared" si="4"/>
        <v>0</v>
      </c>
      <c r="G188" s="198">
        <f t="shared" si="5"/>
        <v>0</v>
      </c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</row>
    <row r="189" spans="1:48" s="4" customFormat="1" ht="18" customHeight="1" thickBot="1" x14ac:dyDescent="0.35">
      <c r="A189" s="159" t="s">
        <v>184</v>
      </c>
      <c r="B189" s="144" t="s">
        <v>360</v>
      </c>
      <c r="C189" s="198">
        <v>1134</v>
      </c>
      <c r="D189" s="145">
        <v>9025</v>
      </c>
      <c r="E189" s="198">
        <v>0</v>
      </c>
      <c r="F189" s="198">
        <f t="shared" si="4"/>
        <v>0</v>
      </c>
      <c r="G189" s="198">
        <f t="shared" si="5"/>
        <v>0</v>
      </c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</row>
    <row r="190" spans="1:48" s="4" customFormat="1" ht="18" customHeight="1" thickBot="1" x14ac:dyDescent="0.35">
      <c r="A190" s="159" t="s">
        <v>407</v>
      </c>
      <c r="B190" s="144" t="s">
        <v>576</v>
      </c>
      <c r="C190" s="198">
        <v>1883463</v>
      </c>
      <c r="D190" s="145"/>
      <c r="E190" s="198">
        <v>1883463</v>
      </c>
      <c r="F190" s="198">
        <f t="shared" si="4"/>
        <v>1883463</v>
      </c>
      <c r="G190" s="198">
        <f t="shared" si="5"/>
        <v>0</v>
      </c>
      <c r="H190" s="201"/>
      <c r="I190" s="201"/>
      <c r="J190" s="201"/>
      <c r="K190" s="201"/>
      <c r="L190" s="201"/>
      <c r="M190" s="201">
        <v>89158</v>
      </c>
      <c r="N190" s="201">
        <v>282161</v>
      </c>
      <c r="O190" s="201">
        <v>246312</v>
      </c>
      <c r="P190" s="235">
        <v>172677</v>
      </c>
      <c r="Q190" s="201">
        <v>195504</v>
      </c>
      <c r="R190" s="235">
        <v>170173</v>
      </c>
      <c r="S190" s="251">
        <v>221059</v>
      </c>
      <c r="T190" s="305">
        <f>77508+185739</f>
        <v>263247</v>
      </c>
      <c r="U190" s="201">
        <v>50573</v>
      </c>
      <c r="V190" s="201"/>
      <c r="W190" s="201">
        <v>25941</v>
      </c>
      <c r="X190" s="201"/>
      <c r="Y190" s="201">
        <v>60558</v>
      </c>
      <c r="Z190" s="201">
        <v>106100</v>
      </c>
      <c r="AA190" s="201"/>
      <c r="AB190" s="201"/>
      <c r="AC190" s="201"/>
      <c r="AD190" s="201"/>
      <c r="AE190" s="201"/>
      <c r="AF190" s="201"/>
      <c r="AG190" s="201"/>
      <c r="AH190" s="201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</row>
    <row r="191" spans="1:48" s="4" customFormat="1" ht="18" customHeight="1" thickBot="1" x14ac:dyDescent="0.35">
      <c r="A191" s="159" t="s">
        <v>363</v>
      </c>
      <c r="B191" s="144" t="s">
        <v>626</v>
      </c>
      <c r="C191" s="198">
        <v>70163</v>
      </c>
      <c r="D191" s="145"/>
      <c r="E191" s="198">
        <v>70163</v>
      </c>
      <c r="F191" s="198">
        <f t="shared" si="4"/>
        <v>70163</v>
      </c>
      <c r="G191" s="198">
        <f t="shared" si="5"/>
        <v>0</v>
      </c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>
        <v>25299.13</v>
      </c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>
        <v>44863.87</v>
      </c>
      <c r="AG191" s="201"/>
      <c r="AH191" s="201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</row>
    <row r="192" spans="1:48" ht="18" customHeight="1" thickBot="1" x14ac:dyDescent="0.3">
      <c r="A192" s="159" t="s">
        <v>371</v>
      </c>
      <c r="B192" s="144" t="s">
        <v>375</v>
      </c>
      <c r="C192" s="198">
        <v>0</v>
      </c>
      <c r="D192" s="145"/>
      <c r="E192" s="198">
        <v>813801</v>
      </c>
      <c r="F192" s="198">
        <f t="shared" si="4"/>
        <v>813801</v>
      </c>
      <c r="G192" s="198">
        <f t="shared" si="5"/>
        <v>0</v>
      </c>
      <c r="H192" s="204"/>
      <c r="I192" s="204"/>
      <c r="J192" s="204"/>
      <c r="K192" s="204"/>
      <c r="L192" s="204">
        <v>151244</v>
      </c>
      <c r="M192" s="204">
        <v>47352</v>
      </c>
      <c r="N192" s="204">
        <v>3282</v>
      </c>
      <c r="O192" s="201">
        <v>158213</v>
      </c>
      <c r="P192" s="204">
        <v>2958</v>
      </c>
      <c r="Q192" s="204">
        <v>57040</v>
      </c>
      <c r="R192" s="204">
        <v>121049</v>
      </c>
      <c r="S192" s="204">
        <v>49531</v>
      </c>
      <c r="T192" s="204">
        <v>3491</v>
      </c>
      <c r="U192" s="204">
        <v>149312.60999999999</v>
      </c>
      <c r="V192" s="204"/>
      <c r="W192" s="204"/>
      <c r="X192" s="204">
        <v>70328.39</v>
      </c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</row>
    <row r="193" spans="1:48" ht="18" customHeight="1" thickBot="1" x14ac:dyDescent="0.3">
      <c r="A193" s="159" t="s">
        <v>372</v>
      </c>
      <c r="B193" s="144" t="s">
        <v>627</v>
      </c>
      <c r="C193" s="198">
        <v>0</v>
      </c>
      <c r="D193" s="145"/>
      <c r="E193" s="198">
        <v>1202960</v>
      </c>
      <c r="F193" s="198">
        <f t="shared" si="4"/>
        <v>1202960</v>
      </c>
      <c r="G193" s="198">
        <f t="shared" si="5"/>
        <v>0</v>
      </c>
      <c r="H193" s="204"/>
      <c r="I193" s="204"/>
      <c r="J193" s="204"/>
      <c r="K193" s="204">
        <v>75000</v>
      </c>
      <c r="L193" s="204">
        <v>51296</v>
      </c>
      <c r="M193" s="204">
        <v>93000</v>
      </c>
      <c r="N193" s="204">
        <v>40000</v>
      </c>
      <c r="O193" s="201">
        <v>105000</v>
      </c>
      <c r="P193" s="204">
        <v>96000</v>
      </c>
      <c r="Q193" s="204">
        <v>174000</v>
      </c>
      <c r="R193" s="204">
        <v>110000</v>
      </c>
      <c r="S193" s="204">
        <v>180000</v>
      </c>
      <c r="T193" s="204">
        <v>75000</v>
      </c>
      <c r="U193" s="204">
        <v>96826</v>
      </c>
      <c r="V193" s="204">
        <v>81428</v>
      </c>
      <c r="W193" s="204">
        <v>25410</v>
      </c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</row>
    <row r="194" spans="1:48" ht="18" customHeight="1" thickBot="1" x14ac:dyDescent="0.3">
      <c r="A194" s="159" t="s">
        <v>373</v>
      </c>
      <c r="B194" s="144" t="s">
        <v>377</v>
      </c>
      <c r="C194" s="198">
        <v>0</v>
      </c>
      <c r="D194" s="145"/>
      <c r="E194" s="198">
        <v>210934</v>
      </c>
      <c r="F194" s="198">
        <f t="shared" si="4"/>
        <v>210934</v>
      </c>
      <c r="G194" s="198">
        <f t="shared" si="5"/>
        <v>0</v>
      </c>
      <c r="H194" s="204"/>
      <c r="I194" s="204"/>
      <c r="J194" s="204"/>
      <c r="K194" s="204"/>
      <c r="L194" s="204">
        <v>24761</v>
      </c>
      <c r="M194" s="204"/>
      <c r="N194" s="204">
        <v>1665</v>
      </c>
      <c r="O194" s="201">
        <v>7086</v>
      </c>
      <c r="P194" s="204">
        <f>1665+79123</f>
        <v>80788</v>
      </c>
      <c r="Q194" s="204"/>
      <c r="R194" s="204">
        <v>46864</v>
      </c>
      <c r="S194" s="204">
        <f>31167+7861</f>
        <v>39028</v>
      </c>
      <c r="T194" s="204">
        <v>1566</v>
      </c>
      <c r="U194" s="204"/>
      <c r="V194" s="204"/>
      <c r="W194" s="204">
        <f>2347.59+6828.41</f>
        <v>9176</v>
      </c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</row>
    <row r="195" spans="1:48" s="157" customFormat="1" ht="18" customHeight="1" thickBot="1" x14ac:dyDescent="0.3">
      <c r="A195" s="160"/>
      <c r="B195" s="156"/>
      <c r="C195" s="199"/>
      <c r="D195" s="192"/>
      <c r="E195" s="199"/>
      <c r="F195" s="199"/>
      <c r="G195" s="199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</row>
    <row r="196" spans="1:48" s="53" customFormat="1" ht="18" customHeight="1" thickBot="1" x14ac:dyDescent="0.3">
      <c r="A196" s="158" t="s">
        <v>580</v>
      </c>
      <c r="B196" s="51"/>
      <c r="C196" s="200">
        <f>SUM(C12:C194)</f>
        <v>139669544</v>
      </c>
      <c r="D196" s="193"/>
      <c r="E196" s="200">
        <f>SUM(E12:E194)</f>
        <v>139669545</v>
      </c>
      <c r="F196" s="200">
        <f>SUM(F12:F194)</f>
        <v>139669545</v>
      </c>
      <c r="G196" s="200">
        <f>SUM(G12:G194)</f>
        <v>0</v>
      </c>
      <c r="H196" s="200">
        <f t="shared" ref="H196:AV196" si="6">SUM(H12:H194)</f>
        <v>0</v>
      </c>
      <c r="I196" s="200">
        <f t="shared" si="6"/>
        <v>0</v>
      </c>
      <c r="J196" s="200">
        <f t="shared" si="6"/>
        <v>0</v>
      </c>
      <c r="K196" s="200">
        <f t="shared" si="6"/>
        <v>186397</v>
      </c>
      <c r="L196" s="200">
        <f t="shared" si="6"/>
        <v>2505301</v>
      </c>
      <c r="M196" s="200">
        <f t="shared" si="6"/>
        <v>5389589</v>
      </c>
      <c r="N196" s="200">
        <f t="shared" si="6"/>
        <v>15045745</v>
      </c>
      <c r="O196" s="200">
        <f t="shared" si="6"/>
        <v>13428045</v>
      </c>
      <c r="P196" s="200">
        <f t="shared" si="6"/>
        <v>8778542</v>
      </c>
      <c r="Q196" s="200">
        <f t="shared" si="6"/>
        <v>14396032.74</v>
      </c>
      <c r="R196" s="200">
        <f t="shared" si="6"/>
        <v>13788175.35</v>
      </c>
      <c r="S196" s="200">
        <f>SUM(S12:S194)</f>
        <v>15842459.1</v>
      </c>
      <c r="T196" s="200">
        <f t="shared" si="6"/>
        <v>13569788.699999999</v>
      </c>
      <c r="U196" s="200">
        <f t="shared" si="6"/>
        <v>4308672.46</v>
      </c>
      <c r="V196" s="200">
        <f t="shared" si="6"/>
        <v>4242653.63</v>
      </c>
      <c r="W196" s="200">
        <f t="shared" si="6"/>
        <v>5802142.9699999997</v>
      </c>
      <c r="X196" s="200">
        <f t="shared" si="6"/>
        <v>10476980.5</v>
      </c>
      <c r="Y196" s="200">
        <f t="shared" si="6"/>
        <v>1914842.9600000002</v>
      </c>
      <c r="Z196" s="200">
        <f t="shared" si="6"/>
        <v>7605330.1200000001</v>
      </c>
      <c r="AA196" s="200">
        <f t="shared" si="6"/>
        <v>542359.82999999996</v>
      </c>
      <c r="AB196" s="200">
        <f t="shared" si="6"/>
        <v>304020.57999999996</v>
      </c>
      <c r="AC196" s="200">
        <f t="shared" si="6"/>
        <v>409289.62</v>
      </c>
      <c r="AD196" s="200">
        <f t="shared" si="6"/>
        <v>660102.59999999986</v>
      </c>
      <c r="AE196" s="200">
        <f t="shared" si="6"/>
        <v>257131.21</v>
      </c>
      <c r="AF196" s="200">
        <f t="shared" si="6"/>
        <v>95244.03</v>
      </c>
      <c r="AG196" s="200">
        <f t="shared" si="6"/>
        <v>79371.600000000006</v>
      </c>
      <c r="AH196" s="200">
        <f t="shared" si="6"/>
        <v>0</v>
      </c>
      <c r="AI196" s="200">
        <f t="shared" si="6"/>
        <v>0</v>
      </c>
      <c r="AJ196" s="200">
        <f t="shared" si="6"/>
        <v>517</v>
      </c>
      <c r="AK196" s="200">
        <f t="shared" si="6"/>
        <v>40340</v>
      </c>
      <c r="AL196" s="200">
        <f t="shared" si="6"/>
        <v>0</v>
      </c>
      <c r="AM196" s="200">
        <f t="shared" si="6"/>
        <v>3</v>
      </c>
      <c r="AN196" s="200">
        <f t="shared" si="6"/>
        <v>0</v>
      </c>
      <c r="AO196" s="200">
        <f t="shared" si="6"/>
        <v>0</v>
      </c>
      <c r="AP196" s="200">
        <f t="shared" si="6"/>
        <v>468</v>
      </c>
      <c r="AQ196" s="200">
        <f t="shared" si="6"/>
        <v>0</v>
      </c>
      <c r="AR196" s="200">
        <f t="shared" si="6"/>
        <v>0</v>
      </c>
      <c r="AS196" s="200"/>
      <c r="AT196" s="200"/>
      <c r="AU196" s="200">
        <f t="shared" si="6"/>
        <v>0</v>
      </c>
      <c r="AV196" s="200">
        <f t="shared" si="6"/>
        <v>0</v>
      </c>
    </row>
    <row r="197" spans="1:48" ht="18.75" x14ac:dyDescent="0.3">
      <c r="A197" s="119"/>
      <c r="B197" s="39"/>
      <c r="C197" s="78"/>
      <c r="D197" s="115"/>
      <c r="E197" s="39"/>
      <c r="F197" s="39"/>
      <c r="G197" s="39"/>
      <c r="L197" s="146"/>
      <c r="M197" s="80"/>
      <c r="O197" s="100"/>
    </row>
    <row r="198" spans="1:48" ht="18.75" x14ac:dyDescent="0.3">
      <c r="C198" s="78"/>
      <c r="D198" s="115"/>
      <c r="E198" s="39"/>
      <c r="F198" s="39"/>
      <c r="G198" s="57"/>
      <c r="J198" s="80"/>
      <c r="K198" s="80"/>
      <c r="L198" s="80"/>
      <c r="M198" s="80"/>
      <c r="N198" s="80"/>
      <c r="O198" s="80"/>
      <c r="P198" s="80"/>
      <c r="R198" s="80"/>
      <c r="S198" s="80"/>
      <c r="T198" s="80"/>
      <c r="V198" s="80"/>
    </row>
    <row r="199" spans="1:48" ht="18.75" x14ac:dyDescent="0.3">
      <c r="C199" s="79"/>
      <c r="D199" s="115"/>
      <c r="G199" s="242"/>
      <c r="M199" s="146"/>
      <c r="Q199" s="259"/>
      <c r="R199" s="80"/>
      <c r="U199" s="80"/>
    </row>
    <row r="200" spans="1:48" x14ac:dyDescent="0.25">
      <c r="C200" s="79"/>
      <c r="D200" s="116"/>
      <c r="G200" s="277"/>
      <c r="O200" s="80"/>
      <c r="S200" s="80"/>
      <c r="T200" s="80"/>
    </row>
    <row r="201" spans="1:48" x14ac:dyDescent="0.25">
      <c r="C201" s="79"/>
      <c r="D201" s="116"/>
      <c r="O201" s="8">
        <v>0</v>
      </c>
    </row>
    <row r="202" spans="1:48" x14ac:dyDescent="0.25">
      <c r="C202" s="79"/>
      <c r="D202" s="116"/>
      <c r="G202" s="80"/>
    </row>
    <row r="203" spans="1:48" x14ac:dyDescent="0.25">
      <c r="C203" s="79"/>
      <c r="D203" s="116"/>
    </row>
    <row r="204" spans="1:48" x14ac:dyDescent="0.25">
      <c r="C204" s="79"/>
      <c r="D204" s="116"/>
    </row>
    <row r="205" spans="1:48" x14ac:dyDescent="0.25">
      <c r="C205" s="79"/>
      <c r="D205" s="116"/>
    </row>
    <row r="206" spans="1:48" x14ac:dyDescent="0.25">
      <c r="C206" s="79"/>
      <c r="D206" s="116"/>
    </row>
    <row r="207" spans="1:48" x14ac:dyDescent="0.25">
      <c r="C207" s="79"/>
      <c r="D207" s="116"/>
    </row>
    <row r="208" spans="1:48" x14ac:dyDescent="0.25">
      <c r="C208" s="79"/>
      <c r="D208" s="116"/>
    </row>
    <row r="209" spans="3:4" x14ac:dyDescent="0.25">
      <c r="C209" s="79"/>
      <c r="D209" s="116"/>
    </row>
    <row r="210" spans="3:4" x14ac:dyDescent="0.25">
      <c r="C210" s="79"/>
      <c r="D210" s="116"/>
    </row>
    <row r="211" spans="3:4" x14ac:dyDescent="0.25">
      <c r="C211" s="79"/>
      <c r="D211" s="116"/>
    </row>
    <row r="212" spans="3:4" x14ac:dyDescent="0.25">
      <c r="C212" s="79"/>
      <c r="D212" s="116"/>
    </row>
    <row r="213" spans="3:4" x14ac:dyDescent="0.25">
      <c r="C213" s="79"/>
      <c r="D213" s="116"/>
    </row>
    <row r="214" spans="3:4" x14ac:dyDescent="0.25">
      <c r="C214" s="79"/>
      <c r="D214" s="116"/>
    </row>
    <row r="215" spans="3:4" x14ac:dyDescent="0.25">
      <c r="C215" s="79"/>
      <c r="D215" s="116"/>
    </row>
    <row r="216" spans="3:4" x14ac:dyDescent="0.25">
      <c r="C216" s="79"/>
      <c r="D216" s="116"/>
    </row>
    <row r="217" spans="3:4" x14ac:dyDescent="0.25">
      <c r="D217" s="116"/>
    </row>
    <row r="218" spans="3:4" x14ac:dyDescent="0.25">
      <c r="D218" s="116"/>
    </row>
    <row r="219" spans="3:4" x14ac:dyDescent="0.25">
      <c r="D219" s="116"/>
    </row>
    <row r="220" spans="3:4" x14ac:dyDescent="0.25">
      <c r="D220" s="116"/>
    </row>
    <row r="221" spans="3:4" x14ac:dyDescent="0.25">
      <c r="D221" s="116"/>
    </row>
    <row r="222" spans="3:4" x14ac:dyDescent="0.25">
      <c r="D222" s="116"/>
    </row>
    <row r="223" spans="3:4" x14ac:dyDescent="0.25">
      <c r="D223" s="116"/>
    </row>
    <row r="224" spans="3:4" x14ac:dyDescent="0.25">
      <c r="D224" s="116"/>
    </row>
    <row r="225" spans="4:4" x14ac:dyDescent="0.25">
      <c r="D225" s="116"/>
    </row>
  </sheetData>
  <sheetProtection algorithmName="SHA-512" hashValue="dfZMvm2o4zMPsme6R8LaKKiIn0n4nzQ8kcnjJ/ofK8jXPBPlqI2bQW3hRty6C/GYU6ZUtHXH8DtxkR+9zyUa3w==" saltValue="apa2pcODmA9kk27fMWuilg==" spinCount="100000" sheet="1" objects="1" scenarios="1"/>
  <pageMargins left="0.1" right="0.1" top="0.1" bottom="0.1" header="0.5" footer="0.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66CCFF"/>
  </sheetPr>
  <dimension ref="A1:AX28"/>
  <sheetViews>
    <sheetView workbookViewId="0">
      <pane xSplit="7" ySplit="11" topLeftCell="AT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E10" sqref="E10"/>
    </sheetView>
  </sheetViews>
  <sheetFormatPr defaultRowHeight="15" x14ac:dyDescent="0.25"/>
  <cols>
    <col min="1" max="1" width="9.140625" style="7" customWidth="1"/>
    <col min="2" max="2" width="36.7109375" style="7" customWidth="1"/>
    <col min="3" max="3" width="20.85546875" style="7" customWidth="1"/>
    <col min="4" max="4" width="16.42578125" style="142" customWidth="1"/>
    <col min="5" max="5" width="16.7109375" style="142" customWidth="1"/>
    <col min="6" max="6" width="18.85546875" style="7" customWidth="1"/>
    <col min="7" max="7" width="24.85546875" style="7" customWidth="1"/>
    <col min="8" max="34" width="15.7109375" customWidth="1"/>
    <col min="35" max="37" width="15" customWidth="1"/>
    <col min="38" max="48" width="15" style="142" customWidth="1"/>
    <col min="49" max="50" width="15" customWidth="1"/>
  </cols>
  <sheetData>
    <row r="1" spans="1:50" ht="21" x14ac:dyDescent="0.35">
      <c r="A1" s="12" t="s">
        <v>0</v>
      </c>
      <c r="B1" s="13"/>
      <c r="C1" s="14" t="s">
        <v>382</v>
      </c>
      <c r="D1" s="128"/>
      <c r="E1" s="128"/>
      <c r="F1" s="12"/>
      <c r="G1" s="15"/>
      <c r="H1" s="16"/>
      <c r="I1" s="16"/>
      <c r="J1" s="14" t="str">
        <f>C1</f>
        <v>Title I-D Delinquent</v>
      </c>
      <c r="K1" s="14"/>
      <c r="L1" s="12"/>
      <c r="M1" s="12"/>
      <c r="N1" s="15"/>
      <c r="O1" s="15"/>
      <c r="P1" s="16"/>
      <c r="Q1" s="85" t="str">
        <f>C1</f>
        <v>Title I-D Delinquent</v>
      </c>
      <c r="R1" s="14"/>
      <c r="S1" s="14"/>
      <c r="T1" s="12"/>
      <c r="U1" s="12"/>
      <c r="V1" s="15"/>
      <c r="W1" s="15"/>
      <c r="X1" s="85" t="str">
        <f>C1</f>
        <v>Title I-D Delinquent</v>
      </c>
      <c r="Y1" s="16"/>
      <c r="Z1" s="14"/>
      <c r="AA1" s="14"/>
      <c r="AB1" s="12"/>
      <c r="AC1" s="12"/>
      <c r="AD1" s="15"/>
      <c r="AE1" s="85" t="str">
        <f>C1</f>
        <v>Title I-D Delinquent</v>
      </c>
      <c r="AF1" s="16"/>
      <c r="AG1" s="16"/>
      <c r="AH1" s="14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</row>
    <row r="2" spans="1:50" ht="15.75" x14ac:dyDescent="0.25">
      <c r="A2" s="17" t="s">
        <v>1</v>
      </c>
      <c r="B2" s="13"/>
      <c r="C2" s="18" t="s">
        <v>364</v>
      </c>
      <c r="D2" s="89"/>
      <c r="E2" s="89"/>
      <c r="F2" s="17"/>
      <c r="G2" s="19"/>
      <c r="H2" s="16"/>
      <c r="I2" s="16"/>
      <c r="J2" s="17" t="str">
        <f>"FY"&amp;C4</f>
        <v>FY2018-2019</v>
      </c>
      <c r="K2" s="17"/>
      <c r="L2" s="20"/>
      <c r="M2" s="20"/>
      <c r="N2" s="19"/>
      <c r="O2" s="19"/>
      <c r="P2" s="19"/>
      <c r="Q2" s="88" t="str">
        <f>"FY"&amp;C4</f>
        <v>FY2018-2019</v>
      </c>
      <c r="R2" s="17"/>
      <c r="S2" s="17"/>
      <c r="T2" s="20"/>
      <c r="U2" s="20"/>
      <c r="V2" s="19"/>
      <c r="W2" s="19"/>
      <c r="X2" s="88" t="str">
        <f>"FY"&amp;C4</f>
        <v>FY2018-2019</v>
      </c>
      <c r="Y2" s="19"/>
      <c r="Z2" s="17"/>
      <c r="AA2" s="17"/>
      <c r="AB2" s="20"/>
      <c r="AC2" s="20"/>
      <c r="AD2" s="19"/>
      <c r="AE2" s="88" t="str">
        <f>"FY"&amp;C4</f>
        <v>FY2018-2019</v>
      </c>
      <c r="AF2" s="19"/>
      <c r="AG2" s="19"/>
      <c r="AH2" s="17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</row>
    <row r="3" spans="1:50" ht="15.75" x14ac:dyDescent="0.25">
      <c r="A3" s="17" t="s">
        <v>3</v>
      </c>
      <c r="B3" s="13"/>
      <c r="C3" s="20" t="s">
        <v>383</v>
      </c>
      <c r="D3" s="129"/>
      <c r="E3" s="129"/>
      <c r="F3" s="17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</row>
    <row r="4" spans="1:50" ht="15.75" x14ac:dyDescent="0.25">
      <c r="A4" s="17" t="s">
        <v>2</v>
      </c>
      <c r="B4" s="13"/>
      <c r="C4" s="20" t="str">
        <f>'ESSA Title I-A Formula'!$C$4</f>
        <v>2018-2019</v>
      </c>
      <c r="D4" s="129"/>
      <c r="E4" s="129"/>
      <c r="F4" s="19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</row>
    <row r="5" spans="1:50" ht="15.75" x14ac:dyDescent="0.25">
      <c r="A5" s="17" t="s">
        <v>397</v>
      </c>
      <c r="B5" s="13"/>
      <c r="C5" s="74" t="s">
        <v>660</v>
      </c>
      <c r="D5" s="74"/>
      <c r="E5" s="74"/>
      <c r="F5" s="17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</row>
    <row r="6" spans="1:50" ht="15.75" x14ac:dyDescent="0.25">
      <c r="A6" s="17" t="s">
        <v>4</v>
      </c>
      <c r="B6" s="13"/>
      <c r="C6" s="74" t="s">
        <v>365</v>
      </c>
      <c r="D6" s="74"/>
      <c r="E6" s="74"/>
      <c r="F6" s="17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</row>
    <row r="7" spans="1:50" s="142" customFormat="1" ht="15.75" x14ac:dyDescent="0.25">
      <c r="A7" s="88"/>
      <c r="B7" s="84"/>
      <c r="C7" s="74"/>
      <c r="D7" s="74"/>
      <c r="E7" s="74"/>
      <c r="F7" s="88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</row>
    <row r="8" spans="1:50" ht="15.75" x14ac:dyDescent="0.25">
      <c r="A8" s="17" t="s">
        <v>379</v>
      </c>
      <c r="B8" s="13"/>
      <c r="C8" s="88" t="s">
        <v>601</v>
      </c>
      <c r="D8" s="88"/>
      <c r="E8" s="88"/>
      <c r="F8" s="1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</row>
    <row r="9" spans="1:50" ht="15.75" x14ac:dyDescent="0.25">
      <c r="A9" s="17" t="s">
        <v>380</v>
      </c>
      <c r="B9" s="13"/>
      <c r="C9" s="17" t="s">
        <v>381</v>
      </c>
      <c r="D9" s="88"/>
      <c r="E9" s="88"/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</row>
    <row r="10" spans="1:50" ht="16.5" thickBot="1" x14ac:dyDescent="0.3">
      <c r="A10" s="17" t="s">
        <v>398</v>
      </c>
      <c r="B10" s="13"/>
      <c r="C10" s="88" t="s">
        <v>676</v>
      </c>
      <c r="D10" s="88"/>
      <c r="E10" s="88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</row>
    <row r="11" spans="1:50" ht="45.75" thickBot="1" x14ac:dyDescent="0.3">
      <c r="A11" s="44" t="s">
        <v>366</v>
      </c>
      <c r="B11" s="45" t="s">
        <v>367</v>
      </c>
      <c r="C11" s="45" t="s">
        <v>368</v>
      </c>
      <c r="D11" s="114" t="s">
        <v>655</v>
      </c>
      <c r="E11" s="46" t="s">
        <v>646</v>
      </c>
      <c r="F11" s="45" t="s">
        <v>369</v>
      </c>
      <c r="G11" s="43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671</v>
      </c>
      <c r="AU11" s="107" t="s">
        <v>674</v>
      </c>
      <c r="AV11" s="107" t="s">
        <v>675</v>
      </c>
      <c r="AW11" s="107" t="s">
        <v>653</v>
      </c>
      <c r="AX11" s="107" t="s">
        <v>654</v>
      </c>
    </row>
    <row r="12" spans="1:50" ht="18" customHeight="1" thickBot="1" x14ac:dyDescent="0.3">
      <c r="A12" s="147" t="s">
        <v>14</v>
      </c>
      <c r="B12" s="123" t="s">
        <v>628</v>
      </c>
      <c r="C12" s="217">
        <v>10286</v>
      </c>
      <c r="D12" s="102"/>
      <c r="E12" s="206">
        <v>10286</v>
      </c>
      <c r="F12" s="207">
        <f>SUM(H12:AV12)</f>
        <v>10286</v>
      </c>
      <c r="G12" s="208">
        <f>E12-(F12+AW12+AX12)</f>
        <v>0</v>
      </c>
      <c r="H12" s="209"/>
      <c r="I12" s="209"/>
      <c r="J12" s="209"/>
      <c r="K12" s="209"/>
      <c r="L12" s="210"/>
      <c r="M12" s="210"/>
      <c r="N12" s="210"/>
      <c r="O12" s="210">
        <v>695</v>
      </c>
      <c r="P12" s="210"/>
      <c r="Q12" s="210">
        <v>715</v>
      </c>
      <c r="R12" s="210">
        <v>714</v>
      </c>
      <c r="S12" s="210"/>
      <c r="T12" s="210"/>
      <c r="U12" s="210"/>
      <c r="V12" s="210"/>
      <c r="W12" s="210">
        <v>967.89</v>
      </c>
      <c r="X12" s="210">
        <v>967.89</v>
      </c>
      <c r="Y12" s="210"/>
      <c r="Z12" s="210">
        <v>1935.78</v>
      </c>
      <c r="AA12" s="210">
        <v>967.91</v>
      </c>
      <c r="AB12" s="210">
        <v>967.89</v>
      </c>
      <c r="AC12" s="210">
        <v>967.91</v>
      </c>
      <c r="AD12" s="210">
        <v>967.89</v>
      </c>
      <c r="AE12" s="210">
        <v>418.84</v>
      </c>
      <c r="AF12" s="210"/>
      <c r="AG12" s="210"/>
      <c r="AH12" s="210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</row>
    <row r="13" spans="1:50" ht="18" customHeight="1" thickBot="1" x14ac:dyDescent="0.3">
      <c r="A13" s="147" t="s">
        <v>21</v>
      </c>
      <c r="B13" s="123" t="s">
        <v>629</v>
      </c>
      <c r="C13" s="217">
        <v>91111</v>
      </c>
      <c r="D13" s="102"/>
      <c r="E13" s="206">
        <v>91111</v>
      </c>
      <c r="F13" s="207">
        <f t="shared" ref="F13:F23" si="0">SUM(H13:AV13)</f>
        <v>91111</v>
      </c>
      <c r="G13" s="208">
        <f t="shared" ref="G13:G23" si="1">E13-(F13+AW13+AX13)</f>
        <v>0</v>
      </c>
      <c r="H13" s="209"/>
      <c r="I13" s="209"/>
      <c r="J13" s="209"/>
      <c r="K13" s="209"/>
      <c r="L13" s="210"/>
      <c r="M13" s="210"/>
      <c r="N13" s="210">
        <v>32329</v>
      </c>
      <c r="O13" s="210">
        <v>9092</v>
      </c>
      <c r="P13" s="210">
        <v>9200</v>
      </c>
      <c r="Q13" s="210">
        <v>9370</v>
      </c>
      <c r="R13" s="210">
        <v>9308</v>
      </c>
      <c r="S13" s="210">
        <v>13251</v>
      </c>
      <c r="T13" s="210"/>
      <c r="U13" s="210"/>
      <c r="V13" s="210"/>
      <c r="W13" s="210">
        <v>8561</v>
      </c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</row>
    <row r="14" spans="1:50" ht="18" customHeight="1" thickBot="1" x14ac:dyDescent="0.3">
      <c r="A14" s="147" t="s">
        <v>46</v>
      </c>
      <c r="B14" s="123" t="s">
        <v>451</v>
      </c>
      <c r="C14" s="217">
        <v>455551</v>
      </c>
      <c r="D14" s="102"/>
      <c r="E14" s="206">
        <v>455551</v>
      </c>
      <c r="F14" s="207">
        <f t="shared" si="0"/>
        <v>455551.00000000006</v>
      </c>
      <c r="G14" s="208">
        <f t="shared" si="1"/>
        <v>0</v>
      </c>
      <c r="H14" s="209"/>
      <c r="I14" s="209"/>
      <c r="J14" s="209"/>
      <c r="K14" s="209"/>
      <c r="L14" s="210"/>
      <c r="M14" s="210"/>
      <c r="N14" s="210">
        <v>66621</v>
      </c>
      <c r="O14" s="210">
        <v>14114</v>
      </c>
      <c r="P14" s="210"/>
      <c r="Q14" s="210">
        <f>14909+17186</f>
        <v>32095</v>
      </c>
      <c r="R14" s="210">
        <v>37066</v>
      </c>
      <c r="S14" s="210"/>
      <c r="T14" s="210">
        <v>246094</v>
      </c>
      <c r="U14" s="210"/>
      <c r="V14" s="210"/>
      <c r="W14" s="210"/>
      <c r="X14" s="210">
        <v>16906.009999999998</v>
      </c>
      <c r="Y14" s="210"/>
      <c r="Z14" s="210">
        <v>34467.4</v>
      </c>
      <c r="AA14" s="210">
        <v>8187.59</v>
      </c>
      <c r="AB14" s="210"/>
      <c r="AC14" s="210"/>
      <c r="AD14" s="210"/>
      <c r="AE14" s="210"/>
      <c r="AF14" s="210"/>
      <c r="AG14" s="210"/>
      <c r="AH14" s="210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</row>
    <row r="15" spans="1:50" s="142" customFormat="1" ht="18" customHeight="1" thickBot="1" x14ac:dyDescent="0.3">
      <c r="A15" s="147" t="s">
        <v>56</v>
      </c>
      <c r="B15" s="123" t="s">
        <v>234</v>
      </c>
      <c r="C15" s="217">
        <v>160180</v>
      </c>
      <c r="D15" s="102"/>
      <c r="E15" s="206">
        <f>160180-33295.56</f>
        <v>126884.44</v>
      </c>
      <c r="F15" s="207">
        <f t="shared" si="0"/>
        <v>126884.44</v>
      </c>
      <c r="G15" s="208">
        <f t="shared" si="1"/>
        <v>0</v>
      </c>
      <c r="H15" s="209"/>
      <c r="I15" s="209"/>
      <c r="J15" s="209"/>
      <c r="K15" s="209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>
        <v>1153.71</v>
      </c>
      <c r="W15" s="210"/>
      <c r="X15" s="210"/>
      <c r="Y15" s="210"/>
      <c r="Z15" s="210"/>
      <c r="AA15" s="210"/>
      <c r="AB15" s="210"/>
      <c r="AC15" s="210"/>
      <c r="AD15" s="210">
        <v>100020.84</v>
      </c>
      <c r="AE15" s="210">
        <f>12053.12+13656.77</f>
        <v>25709.89</v>
      </c>
      <c r="AF15" s="210"/>
      <c r="AG15" s="210"/>
      <c r="AH15" s="210"/>
      <c r="AI15" s="211"/>
      <c r="AJ15" s="211"/>
      <c r="AK15" s="211"/>
      <c r="AL15" s="211"/>
      <c r="AM15" s="211"/>
      <c r="AN15" s="211"/>
      <c r="AO15" s="236"/>
      <c r="AP15" s="211"/>
      <c r="AQ15" s="211"/>
      <c r="AR15" s="211"/>
      <c r="AS15" s="211"/>
      <c r="AT15" s="211"/>
      <c r="AU15" s="211"/>
      <c r="AV15" s="211"/>
      <c r="AW15" s="211"/>
      <c r="AX15" s="211"/>
    </row>
    <row r="16" spans="1:50" ht="18" customHeight="1" thickBot="1" x14ac:dyDescent="0.3">
      <c r="A16" s="147" t="s">
        <v>59</v>
      </c>
      <c r="B16" s="123" t="s">
        <v>630</v>
      </c>
      <c r="C16" s="217">
        <v>32330</v>
      </c>
      <c r="D16" s="102"/>
      <c r="E16" s="206">
        <v>32330</v>
      </c>
      <c r="F16" s="207">
        <f t="shared" si="0"/>
        <v>32330.000000000004</v>
      </c>
      <c r="G16" s="208">
        <f t="shared" si="1"/>
        <v>0</v>
      </c>
      <c r="H16" s="209"/>
      <c r="I16" s="209"/>
      <c r="J16" s="209"/>
      <c r="K16" s="209"/>
      <c r="L16" s="210"/>
      <c r="M16" s="210">
        <v>2480</v>
      </c>
      <c r="N16" s="210"/>
      <c r="O16" s="210">
        <v>9022</v>
      </c>
      <c r="P16" s="210"/>
      <c r="Q16" s="210"/>
      <c r="R16" s="210">
        <f>1695+363</f>
        <v>2058</v>
      </c>
      <c r="S16" s="210"/>
      <c r="T16" s="210"/>
      <c r="U16" s="210"/>
      <c r="V16" s="210"/>
      <c r="W16" s="210"/>
      <c r="X16" s="210"/>
      <c r="Y16" s="210"/>
      <c r="Z16" s="210">
        <v>15407.62</v>
      </c>
      <c r="AA16" s="210">
        <f>1035.39+2326.99</f>
        <v>3362.38</v>
      </c>
      <c r="AB16" s="210"/>
      <c r="AC16" s="210"/>
      <c r="AD16" s="210"/>
      <c r="AE16" s="210"/>
      <c r="AF16" s="210"/>
      <c r="AG16" s="210"/>
      <c r="AH16" s="210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</row>
    <row r="17" spans="1:50" s="142" customFormat="1" ht="18" customHeight="1" thickBot="1" x14ac:dyDescent="0.3">
      <c r="A17" s="147" t="s">
        <v>60</v>
      </c>
      <c r="B17" s="123" t="s">
        <v>673</v>
      </c>
      <c r="C17" s="217"/>
      <c r="D17" s="309" t="s">
        <v>56</v>
      </c>
      <c r="E17" s="206">
        <f>33295.56</f>
        <v>33295.56</v>
      </c>
      <c r="F17" s="207">
        <f t="shared" si="0"/>
        <v>33295.56</v>
      </c>
      <c r="G17" s="208">
        <f t="shared" si="1"/>
        <v>0</v>
      </c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1"/>
      <c r="AJ17" s="211"/>
      <c r="AK17" s="211"/>
      <c r="AL17" s="211"/>
      <c r="AM17" s="211"/>
      <c r="AN17" s="211"/>
      <c r="AO17" s="236">
        <v>33295.56</v>
      </c>
      <c r="AP17" s="211"/>
      <c r="AQ17" s="211"/>
      <c r="AR17" s="211"/>
      <c r="AS17" s="211"/>
      <c r="AT17" s="211"/>
      <c r="AU17" s="211"/>
      <c r="AV17" s="211"/>
      <c r="AW17" s="211"/>
      <c r="AX17" s="211"/>
    </row>
    <row r="18" spans="1:50" ht="18" customHeight="1" thickBot="1" x14ac:dyDescent="0.3">
      <c r="A18" s="49" t="s">
        <v>70</v>
      </c>
      <c r="B18" s="123" t="s">
        <v>631</v>
      </c>
      <c r="C18" s="217">
        <v>168997</v>
      </c>
      <c r="D18" s="102"/>
      <c r="E18" s="206">
        <v>168997</v>
      </c>
      <c r="F18" s="207">
        <f t="shared" si="0"/>
        <v>168997</v>
      </c>
      <c r="G18" s="208">
        <f t="shared" si="1"/>
        <v>0</v>
      </c>
      <c r="H18" s="209"/>
      <c r="I18" s="209"/>
      <c r="J18" s="209"/>
      <c r="K18" s="209"/>
      <c r="L18" s="210"/>
      <c r="M18" s="210"/>
      <c r="N18" s="210">
        <v>41009</v>
      </c>
      <c r="O18" s="210"/>
      <c r="P18" s="210"/>
      <c r="Q18" s="210"/>
      <c r="R18" s="210"/>
      <c r="S18" s="210">
        <f>43707+8721-41009-43707+43707</f>
        <v>11419</v>
      </c>
      <c r="T18" s="210"/>
      <c r="U18" s="210">
        <v>63988</v>
      </c>
      <c r="V18" s="210">
        <v>7786</v>
      </c>
      <c r="W18" s="210"/>
      <c r="X18" s="210"/>
      <c r="Y18" s="210"/>
      <c r="Z18" s="210"/>
      <c r="AA18" s="210"/>
      <c r="AB18" s="210">
        <v>44795</v>
      </c>
      <c r="AC18" s="210"/>
      <c r="AD18" s="210"/>
      <c r="AE18" s="210"/>
      <c r="AF18" s="210"/>
      <c r="AG18" s="210"/>
      <c r="AH18" s="210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</row>
    <row r="19" spans="1:50" ht="18" customHeight="1" thickBot="1" x14ac:dyDescent="0.3">
      <c r="A19" s="49" t="s">
        <v>84</v>
      </c>
      <c r="B19" s="123" t="s">
        <v>632</v>
      </c>
      <c r="C19" s="217">
        <v>0</v>
      </c>
      <c r="D19" s="102"/>
      <c r="E19" s="206">
        <v>0</v>
      </c>
      <c r="F19" s="207">
        <f t="shared" si="0"/>
        <v>0</v>
      </c>
      <c r="G19" s="208">
        <f t="shared" si="1"/>
        <v>0</v>
      </c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</row>
    <row r="20" spans="1:50" ht="18" customHeight="1" thickBot="1" x14ac:dyDescent="0.3">
      <c r="A20" s="49" t="s">
        <v>93</v>
      </c>
      <c r="B20" s="123" t="s">
        <v>271</v>
      </c>
      <c r="C20" s="217">
        <v>25430</v>
      </c>
      <c r="D20" s="102"/>
      <c r="E20" s="206">
        <v>25430</v>
      </c>
      <c r="F20" s="207">
        <f t="shared" si="0"/>
        <v>0</v>
      </c>
      <c r="G20" s="208">
        <v>25430</v>
      </c>
      <c r="H20" s="209"/>
      <c r="I20" s="209"/>
      <c r="J20" s="209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>
        <v>25430</v>
      </c>
      <c r="AX20" s="211"/>
    </row>
    <row r="21" spans="1:50" ht="18" customHeight="1" thickBot="1" x14ac:dyDescent="0.3">
      <c r="A21" s="49" t="s">
        <v>96</v>
      </c>
      <c r="B21" s="123" t="s">
        <v>633</v>
      </c>
      <c r="C21" s="217">
        <v>29244</v>
      </c>
      <c r="D21" s="102"/>
      <c r="E21" s="206">
        <v>29244</v>
      </c>
      <c r="F21" s="207">
        <f t="shared" si="0"/>
        <v>29244</v>
      </c>
      <c r="G21" s="208">
        <f t="shared" si="1"/>
        <v>0</v>
      </c>
      <c r="H21" s="209"/>
      <c r="I21" s="209"/>
      <c r="J21" s="209"/>
      <c r="K21" s="209"/>
      <c r="L21" s="210"/>
      <c r="M21" s="210"/>
      <c r="N21" s="210"/>
      <c r="O21" s="210"/>
      <c r="P21" s="210"/>
      <c r="Q21" s="210"/>
      <c r="R21" s="210">
        <v>5522</v>
      </c>
      <c r="S21" s="210">
        <v>4966</v>
      </c>
      <c r="T21" s="210"/>
      <c r="U21" s="210">
        <v>2581</v>
      </c>
      <c r="V21" s="210"/>
      <c r="W21" s="210"/>
      <c r="X21" s="210">
        <v>4250</v>
      </c>
      <c r="Y21" s="210">
        <v>3465.88</v>
      </c>
      <c r="Z21" s="210"/>
      <c r="AA21" s="210">
        <v>5198.82</v>
      </c>
      <c r="AB21" s="210"/>
      <c r="AC21" s="210"/>
      <c r="AD21" s="210">
        <v>3260.3</v>
      </c>
      <c r="AE21" s="210"/>
      <c r="AF21" s="210"/>
      <c r="AG21" s="210"/>
      <c r="AH21" s="210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</row>
    <row r="22" spans="1:50" ht="18" customHeight="1" thickBot="1" x14ac:dyDescent="0.3">
      <c r="A22" s="49" t="s">
        <v>114</v>
      </c>
      <c r="B22" s="123" t="s">
        <v>634</v>
      </c>
      <c r="C22" s="217">
        <v>32331</v>
      </c>
      <c r="D22" s="102"/>
      <c r="E22" s="206">
        <v>32331</v>
      </c>
      <c r="F22" s="207">
        <f t="shared" si="0"/>
        <v>32331</v>
      </c>
      <c r="G22" s="208">
        <f t="shared" si="1"/>
        <v>0</v>
      </c>
      <c r="H22" s="209"/>
      <c r="I22" s="209"/>
      <c r="J22" s="209"/>
      <c r="K22" s="209"/>
      <c r="L22" s="210"/>
      <c r="M22" s="210"/>
      <c r="N22" s="210"/>
      <c r="O22" s="210">
        <v>9090</v>
      </c>
      <c r="P22" s="210"/>
      <c r="Q22" s="210">
        <f>14</f>
        <v>14</v>
      </c>
      <c r="R22" s="210"/>
      <c r="S22" s="210"/>
      <c r="T22" s="210">
        <v>11230</v>
      </c>
      <c r="U22" s="210"/>
      <c r="V22" s="210"/>
      <c r="W22" s="210"/>
      <c r="X22" s="210"/>
      <c r="Y22" s="210"/>
      <c r="Z22" s="210">
        <f>1878.47+5538.6</f>
        <v>7417.0700000000006</v>
      </c>
      <c r="AA22" s="210"/>
      <c r="AB22" s="210">
        <v>4260.5</v>
      </c>
      <c r="AC22" s="210"/>
      <c r="AD22" s="210"/>
      <c r="AE22" s="210">
        <v>319.43</v>
      </c>
      <c r="AF22" s="210"/>
      <c r="AG22" s="210"/>
      <c r="AH22" s="210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</row>
    <row r="23" spans="1:50" ht="18" customHeight="1" thickBot="1" x14ac:dyDescent="0.3">
      <c r="A23" s="49" t="s">
        <v>174</v>
      </c>
      <c r="B23" s="123" t="s">
        <v>350</v>
      </c>
      <c r="C23" s="217">
        <v>16165</v>
      </c>
      <c r="D23" s="102"/>
      <c r="E23" s="206">
        <v>16165</v>
      </c>
      <c r="F23" s="207">
        <f t="shared" si="0"/>
        <v>16165</v>
      </c>
      <c r="G23" s="208">
        <f t="shared" si="1"/>
        <v>0</v>
      </c>
      <c r="H23" s="209"/>
      <c r="I23" s="209"/>
      <c r="J23" s="209"/>
      <c r="K23" s="209"/>
      <c r="L23" s="210">
        <v>180</v>
      </c>
      <c r="M23" s="210"/>
      <c r="N23" s="210"/>
      <c r="O23" s="210">
        <v>1101</v>
      </c>
      <c r="P23" s="210">
        <v>543</v>
      </c>
      <c r="Q23" s="210">
        <v>930</v>
      </c>
      <c r="R23" s="210">
        <v>1222</v>
      </c>
      <c r="S23" s="210">
        <v>1573.12</v>
      </c>
      <c r="T23" s="210">
        <v>1477.05</v>
      </c>
      <c r="U23" s="210"/>
      <c r="V23" s="210">
        <v>930</v>
      </c>
      <c r="W23" s="210">
        <v>1657.55</v>
      </c>
      <c r="X23" s="210">
        <v>2041.92</v>
      </c>
      <c r="Y23" s="210">
        <v>1019.95</v>
      </c>
      <c r="Z23" s="210">
        <v>809.46</v>
      </c>
      <c r="AA23" s="210"/>
      <c r="AB23" s="210"/>
      <c r="AC23" s="210">
        <f>1204.7+1475.25</f>
        <v>2679.95</v>
      </c>
      <c r="AD23" s="210"/>
      <c r="AE23" s="210"/>
      <c r="AF23" s="210"/>
      <c r="AG23" s="210"/>
      <c r="AH23" s="210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</row>
    <row r="24" spans="1:50" s="157" customFormat="1" ht="18" customHeight="1" thickBot="1" x14ac:dyDescent="0.3">
      <c r="A24" s="161"/>
      <c r="B24" s="162"/>
      <c r="C24" s="218"/>
      <c r="D24" s="163"/>
      <c r="E24" s="212"/>
      <c r="F24" s="212"/>
      <c r="G24" s="212"/>
      <c r="H24" s="213"/>
      <c r="I24" s="213"/>
      <c r="J24" s="213"/>
      <c r="K24" s="213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</row>
    <row r="25" spans="1:50" ht="18" customHeight="1" thickBot="1" x14ac:dyDescent="0.3">
      <c r="A25" s="52" t="s">
        <v>580</v>
      </c>
      <c r="B25" s="52"/>
      <c r="C25" s="219">
        <f t="shared" ref="C25:AX25" si="2">SUM(C12:C23)</f>
        <v>1021625</v>
      </c>
      <c r="D25" s="103"/>
      <c r="E25" s="216">
        <f t="shared" si="2"/>
        <v>1021625</v>
      </c>
      <c r="F25" s="216">
        <f t="shared" si="2"/>
        <v>996195</v>
      </c>
      <c r="G25" s="216">
        <f t="shared" si="2"/>
        <v>25430</v>
      </c>
      <c r="H25" s="216">
        <f t="shared" si="2"/>
        <v>0</v>
      </c>
      <c r="I25" s="216">
        <f t="shared" si="2"/>
        <v>0</v>
      </c>
      <c r="J25" s="216">
        <f t="shared" si="2"/>
        <v>0</v>
      </c>
      <c r="K25" s="216">
        <f t="shared" si="2"/>
        <v>0</v>
      </c>
      <c r="L25" s="216">
        <f t="shared" si="2"/>
        <v>180</v>
      </c>
      <c r="M25" s="216">
        <f t="shared" si="2"/>
        <v>2480</v>
      </c>
      <c r="N25" s="216">
        <f t="shared" si="2"/>
        <v>139959</v>
      </c>
      <c r="O25" s="216">
        <f t="shared" si="2"/>
        <v>43114</v>
      </c>
      <c r="P25" s="216">
        <f t="shared" si="2"/>
        <v>9743</v>
      </c>
      <c r="Q25" s="216">
        <f t="shared" si="2"/>
        <v>43124</v>
      </c>
      <c r="R25" s="216">
        <f t="shared" si="2"/>
        <v>55890</v>
      </c>
      <c r="S25" s="216">
        <f t="shared" si="2"/>
        <v>31209.119999999999</v>
      </c>
      <c r="T25" s="216">
        <f t="shared" si="2"/>
        <v>258801.05</v>
      </c>
      <c r="U25" s="216">
        <f t="shared" si="2"/>
        <v>66569</v>
      </c>
      <c r="V25" s="216">
        <f t="shared" si="2"/>
        <v>9869.7099999999991</v>
      </c>
      <c r="W25" s="216">
        <f t="shared" si="2"/>
        <v>11186.439999999999</v>
      </c>
      <c r="X25" s="216">
        <f t="shared" si="2"/>
        <v>24165.82</v>
      </c>
      <c r="Y25" s="216">
        <f t="shared" si="2"/>
        <v>4485.83</v>
      </c>
      <c r="Z25" s="216">
        <f t="shared" si="2"/>
        <v>60037.33</v>
      </c>
      <c r="AA25" s="216">
        <f t="shared" si="2"/>
        <v>17716.7</v>
      </c>
      <c r="AB25" s="216">
        <f t="shared" si="2"/>
        <v>50023.39</v>
      </c>
      <c r="AC25" s="216">
        <f t="shared" si="2"/>
        <v>3647.8599999999997</v>
      </c>
      <c r="AD25" s="216">
        <f t="shared" si="2"/>
        <v>104249.03</v>
      </c>
      <c r="AE25" s="216">
        <f t="shared" si="2"/>
        <v>26448.16</v>
      </c>
      <c r="AF25" s="216">
        <f t="shared" si="2"/>
        <v>0</v>
      </c>
      <c r="AG25" s="216">
        <f t="shared" si="2"/>
        <v>0</v>
      </c>
      <c r="AH25" s="216">
        <f t="shared" si="2"/>
        <v>0</v>
      </c>
      <c r="AI25" s="216">
        <f t="shared" si="2"/>
        <v>0</v>
      </c>
      <c r="AJ25" s="216">
        <f t="shared" si="2"/>
        <v>0</v>
      </c>
      <c r="AK25" s="216">
        <f t="shared" si="2"/>
        <v>0</v>
      </c>
      <c r="AL25" s="216">
        <f t="shared" si="2"/>
        <v>0</v>
      </c>
      <c r="AM25" s="216">
        <f t="shared" si="2"/>
        <v>0</v>
      </c>
      <c r="AN25" s="216">
        <f t="shared" si="2"/>
        <v>0</v>
      </c>
      <c r="AO25" s="216">
        <f t="shared" si="2"/>
        <v>33295.56</v>
      </c>
      <c r="AP25" s="216">
        <f t="shared" si="2"/>
        <v>0</v>
      </c>
      <c r="AQ25" s="216">
        <f t="shared" si="2"/>
        <v>0</v>
      </c>
      <c r="AR25" s="216">
        <f t="shared" si="2"/>
        <v>0</v>
      </c>
      <c r="AS25" s="216">
        <f t="shared" si="2"/>
        <v>0</v>
      </c>
      <c r="AT25" s="216">
        <f t="shared" si="2"/>
        <v>0</v>
      </c>
      <c r="AU25" s="216"/>
      <c r="AV25" s="216"/>
      <c r="AW25" s="216">
        <f t="shared" si="2"/>
        <v>25430</v>
      </c>
      <c r="AX25" s="216">
        <f t="shared" si="2"/>
        <v>0</v>
      </c>
    </row>
    <row r="27" spans="1:50" x14ac:dyDescent="0.25">
      <c r="N27" s="82"/>
      <c r="O27" s="82"/>
      <c r="P27" s="82"/>
      <c r="S27" s="82"/>
    </row>
    <row r="28" spans="1:50" x14ac:dyDescent="0.25">
      <c r="V28" s="82"/>
    </row>
  </sheetData>
  <sheetProtection algorithmName="SHA-512" hashValue="s3nuAouuq7ZNLAgpP8EuqPTrZ79PLwp0aw9w/Puo0py8A4Tkqgpfln/WieUnXq0qCAT9SD1Nl9tAJuBVWlLsIg==" saltValue="2ePsCJvNLszkPc42bzYgcg==" spinCount="100000" sheet="1" objects="1" scenarios="1"/>
  <sortState xmlns:xlrd2="http://schemas.microsoft.com/office/spreadsheetml/2017/richdata2" ref="A11:AF191">
    <sortCondition ref="A11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66CCFF"/>
  </sheetPr>
  <dimension ref="A1:AM17"/>
  <sheetViews>
    <sheetView workbookViewId="0">
      <pane xSplit="7" ySplit="11" topLeftCell="AJ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12" sqref="A12:XFD12"/>
    </sheetView>
  </sheetViews>
  <sheetFormatPr defaultColWidth="9.140625" defaultRowHeight="15" x14ac:dyDescent="0.25"/>
  <cols>
    <col min="1" max="1" width="9.140625" style="7" customWidth="1"/>
    <col min="2" max="2" width="36.7109375" style="7" customWidth="1"/>
    <col min="3" max="3" width="17.28515625" style="7" customWidth="1"/>
    <col min="4" max="5" width="17.28515625" style="142" customWidth="1"/>
    <col min="6" max="7" width="17.28515625" style="7" customWidth="1"/>
    <col min="8" max="34" width="15.7109375" style="7" customWidth="1"/>
    <col min="35" max="39" width="17.140625" style="7" customWidth="1"/>
    <col min="40" max="16384" width="9.140625" style="7"/>
  </cols>
  <sheetData>
    <row r="1" spans="1:39" ht="21" x14ac:dyDescent="0.35">
      <c r="A1" s="12" t="s">
        <v>0</v>
      </c>
      <c r="B1" s="13"/>
      <c r="C1" s="14" t="s">
        <v>581</v>
      </c>
      <c r="D1" s="128"/>
      <c r="E1" s="128"/>
      <c r="F1" s="12"/>
      <c r="G1" s="15"/>
      <c r="H1" s="16"/>
      <c r="I1" s="16"/>
      <c r="J1" s="14" t="str">
        <f>C1</f>
        <v>Title I-D Delinquent -- State Agencies</v>
      </c>
      <c r="K1" s="14"/>
      <c r="L1" s="12"/>
      <c r="M1" s="12"/>
      <c r="N1" s="15"/>
      <c r="O1" s="15"/>
      <c r="P1" s="16"/>
      <c r="Q1" s="16"/>
      <c r="R1" s="85" t="str">
        <f>C1</f>
        <v>Title I-D Delinquent -- State Agencies</v>
      </c>
      <c r="S1" s="14"/>
      <c r="T1" s="12"/>
      <c r="U1" s="12"/>
      <c r="V1" s="15"/>
      <c r="W1" s="15"/>
      <c r="X1" s="16"/>
      <c r="Y1" s="16"/>
      <c r="Z1" s="85" t="str">
        <f>C1</f>
        <v>Title I-D Delinquent -- State Agencies</v>
      </c>
      <c r="AA1" s="14"/>
      <c r="AB1" s="12"/>
      <c r="AC1" s="12"/>
      <c r="AD1" s="15"/>
      <c r="AE1" s="15"/>
      <c r="AF1" s="85" t="str">
        <f>C1</f>
        <v>Title I-D Delinquent -- State Agencies</v>
      </c>
      <c r="AG1" s="16"/>
      <c r="AH1" s="14"/>
      <c r="AI1" s="128"/>
      <c r="AJ1" s="128"/>
      <c r="AK1" s="128"/>
      <c r="AL1" s="128"/>
      <c r="AM1" s="128"/>
    </row>
    <row r="2" spans="1:39" ht="15.75" x14ac:dyDescent="0.25">
      <c r="A2" s="17" t="s">
        <v>1</v>
      </c>
      <c r="B2" s="13"/>
      <c r="C2" s="20" t="s">
        <v>400</v>
      </c>
      <c r="D2" s="129"/>
      <c r="E2" s="129"/>
      <c r="F2" s="17"/>
      <c r="G2" s="19"/>
      <c r="H2" s="16"/>
      <c r="I2" s="16"/>
      <c r="J2" s="17" t="str">
        <f>"FY"&amp;C4</f>
        <v>FY2018-2019</v>
      </c>
      <c r="K2" s="17"/>
      <c r="L2" s="20"/>
      <c r="M2" s="20"/>
      <c r="N2" s="19"/>
      <c r="O2" s="19"/>
      <c r="P2" s="19"/>
      <c r="Q2" s="19"/>
      <c r="R2" s="88" t="str">
        <f>"FY"&amp;C4</f>
        <v>FY2018-2019</v>
      </c>
      <c r="S2" s="17"/>
      <c r="T2" s="20"/>
      <c r="U2" s="20"/>
      <c r="V2" s="19"/>
      <c r="W2" s="19"/>
      <c r="X2" s="19"/>
      <c r="Y2" s="19"/>
      <c r="Z2" s="88" t="str">
        <f>"FY"&amp;C4</f>
        <v>FY2018-2019</v>
      </c>
      <c r="AA2" s="17"/>
      <c r="AB2" s="20"/>
      <c r="AC2" s="20"/>
      <c r="AD2" s="19"/>
      <c r="AE2" s="19"/>
      <c r="AF2" s="88" t="str">
        <f>"FY"&amp;C4</f>
        <v>FY2018-2019</v>
      </c>
      <c r="AG2" s="19"/>
      <c r="AH2" s="17"/>
      <c r="AI2" s="88"/>
      <c r="AJ2" s="88"/>
      <c r="AK2" s="88"/>
      <c r="AL2" s="88"/>
      <c r="AM2" s="88"/>
    </row>
    <row r="3" spans="1:39" ht="15.75" x14ac:dyDescent="0.25">
      <c r="A3" s="17" t="s">
        <v>3</v>
      </c>
      <c r="B3" s="13"/>
      <c r="C3" s="20">
        <v>4013</v>
      </c>
      <c r="D3" s="129"/>
      <c r="E3" s="129"/>
      <c r="F3" s="17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7"/>
      <c r="AJ3" s="87"/>
      <c r="AK3" s="87"/>
      <c r="AL3" s="87"/>
      <c r="AM3" s="87"/>
    </row>
    <row r="4" spans="1:39" ht="15.75" x14ac:dyDescent="0.25">
      <c r="A4" s="17" t="s">
        <v>2</v>
      </c>
      <c r="B4" s="13"/>
      <c r="C4" s="20" t="str">
        <f>'ESSA Title I-A Formula'!$C$4</f>
        <v>2018-2019</v>
      </c>
      <c r="D4" s="129"/>
      <c r="E4" s="129"/>
      <c r="F4" s="19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87"/>
      <c r="AK4" s="87"/>
      <c r="AL4" s="87"/>
      <c r="AM4" s="87"/>
    </row>
    <row r="5" spans="1:39" ht="15.75" x14ac:dyDescent="0.25">
      <c r="A5" s="17" t="s">
        <v>397</v>
      </c>
      <c r="B5" s="13"/>
      <c r="C5" s="74" t="s">
        <v>660</v>
      </c>
      <c r="D5" s="74"/>
      <c r="E5" s="74"/>
      <c r="F5" s="17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93"/>
      <c r="AJ5" s="93"/>
      <c r="AK5" s="93"/>
      <c r="AL5" s="93"/>
      <c r="AM5" s="93"/>
    </row>
    <row r="6" spans="1:39" ht="15.75" x14ac:dyDescent="0.25">
      <c r="A6" s="17" t="s">
        <v>4</v>
      </c>
      <c r="B6" s="13"/>
      <c r="C6" s="17" t="s">
        <v>5</v>
      </c>
      <c r="D6" s="88"/>
      <c r="E6" s="88"/>
      <c r="F6" s="17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93"/>
      <c r="AJ6" s="93"/>
      <c r="AK6" s="93"/>
      <c r="AL6" s="93"/>
      <c r="AM6" s="93"/>
    </row>
    <row r="7" spans="1:39" s="142" customFormat="1" ht="15.75" x14ac:dyDescent="0.25">
      <c r="A7" s="88"/>
      <c r="B7" s="84"/>
      <c r="C7" s="88"/>
      <c r="D7" s="88"/>
      <c r="E7" s="88"/>
      <c r="F7" s="88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39" ht="15.75" x14ac:dyDescent="0.25">
      <c r="A8" s="17" t="s">
        <v>379</v>
      </c>
      <c r="B8" s="13"/>
      <c r="C8" s="88" t="s">
        <v>602</v>
      </c>
      <c r="D8" s="88"/>
      <c r="E8" s="88"/>
      <c r="F8" s="1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93"/>
      <c r="AJ8" s="93"/>
      <c r="AK8" s="93"/>
      <c r="AL8" s="93"/>
      <c r="AM8" s="93"/>
    </row>
    <row r="9" spans="1:39" ht="15.75" x14ac:dyDescent="0.25">
      <c r="A9" s="17" t="s">
        <v>380</v>
      </c>
      <c r="B9" s="13"/>
      <c r="C9" s="17" t="s">
        <v>381</v>
      </c>
      <c r="D9" s="88"/>
      <c r="E9" s="88"/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3"/>
      <c r="AJ9" s="93"/>
      <c r="AK9" s="93"/>
      <c r="AL9" s="93"/>
      <c r="AM9" s="93"/>
    </row>
    <row r="10" spans="1:39" ht="16.5" thickBot="1" x14ac:dyDescent="0.3">
      <c r="A10" s="17" t="s">
        <v>398</v>
      </c>
      <c r="B10" s="13"/>
      <c r="C10" s="17" t="s">
        <v>647</v>
      </c>
      <c r="D10" s="88"/>
      <c r="E10" s="88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93"/>
      <c r="AJ10" s="93"/>
      <c r="AK10" s="93"/>
      <c r="AL10" s="93"/>
      <c r="AM10" s="93"/>
    </row>
    <row r="11" spans="1:39" ht="45.75" thickBot="1" x14ac:dyDescent="0.3">
      <c r="A11" s="44" t="s">
        <v>366</v>
      </c>
      <c r="B11" s="45" t="s">
        <v>367</v>
      </c>
      <c r="C11" s="45" t="s">
        <v>368</v>
      </c>
      <c r="D11" s="114" t="s">
        <v>648</v>
      </c>
      <c r="E11" s="46" t="s">
        <v>646</v>
      </c>
      <c r="F11" s="45" t="s">
        <v>369</v>
      </c>
      <c r="G11" s="43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583</v>
      </c>
      <c r="V11" s="107" t="s">
        <v>584</v>
      </c>
      <c r="W11" s="107" t="s">
        <v>586</v>
      </c>
      <c r="X11" s="107" t="s">
        <v>587</v>
      </c>
      <c r="Y11" s="107" t="s">
        <v>588</v>
      </c>
      <c r="Z11" s="107" t="s">
        <v>589</v>
      </c>
      <c r="AA11" s="107" t="s">
        <v>590</v>
      </c>
      <c r="AB11" s="107" t="s">
        <v>591</v>
      </c>
      <c r="AC11" s="107" t="s">
        <v>592</v>
      </c>
      <c r="AD11" s="107" t="s">
        <v>593</v>
      </c>
      <c r="AE11" s="107" t="s">
        <v>594</v>
      </c>
      <c r="AF11" s="107" t="s">
        <v>595</v>
      </c>
      <c r="AG11" s="107" t="s">
        <v>596</v>
      </c>
      <c r="AH11" s="107" t="s">
        <v>597</v>
      </c>
      <c r="AI11" s="107" t="s">
        <v>650</v>
      </c>
      <c r="AJ11" s="107" t="s">
        <v>651</v>
      </c>
      <c r="AK11" s="107" t="s">
        <v>652</v>
      </c>
      <c r="AL11" s="107" t="s">
        <v>653</v>
      </c>
      <c r="AM11" s="107" t="s">
        <v>654</v>
      </c>
    </row>
    <row r="12" spans="1:39" ht="16.5" thickBot="1" x14ac:dyDescent="0.3">
      <c r="A12" s="49" t="s">
        <v>635</v>
      </c>
      <c r="B12" s="50" t="s">
        <v>636</v>
      </c>
      <c r="C12" s="217">
        <v>476453</v>
      </c>
      <c r="D12" s="102"/>
      <c r="E12" s="206">
        <v>476453</v>
      </c>
      <c r="F12" s="207">
        <f>SUM(H12:AH12)</f>
        <v>476453</v>
      </c>
      <c r="G12" s="208">
        <f>E12-F12</f>
        <v>0</v>
      </c>
      <c r="H12" s="210"/>
      <c r="I12" s="210"/>
      <c r="J12" s="210"/>
      <c r="K12" s="210"/>
      <c r="L12" s="210"/>
      <c r="M12" s="210"/>
      <c r="N12" s="210"/>
      <c r="O12" s="210"/>
      <c r="P12" s="210">
        <v>110437</v>
      </c>
      <c r="Q12" s="210"/>
      <c r="R12" s="210">
        <f>39547+47839</f>
        <v>87386</v>
      </c>
      <c r="S12" s="210">
        <v>-4113.68</v>
      </c>
      <c r="T12" s="210">
        <v>139322</v>
      </c>
      <c r="U12" s="210">
        <v>45412</v>
      </c>
      <c r="V12" s="210"/>
      <c r="W12" s="210"/>
      <c r="X12" s="210"/>
      <c r="Y12" s="210"/>
      <c r="Z12" s="210"/>
      <c r="AA12" s="210"/>
      <c r="AB12" s="210"/>
      <c r="AC12" s="210"/>
      <c r="AD12" s="210"/>
      <c r="AE12" s="210">
        <v>98009.68</v>
      </c>
      <c r="AF12" s="210"/>
      <c r="AG12" s="210"/>
      <c r="AH12" s="210"/>
      <c r="AI12" s="211"/>
      <c r="AJ12" s="211"/>
      <c r="AK12" s="211"/>
      <c r="AL12" s="211"/>
      <c r="AM12" s="211"/>
    </row>
    <row r="13" spans="1:39" s="157" customFormat="1" ht="16.5" thickBot="1" x14ac:dyDescent="0.3">
      <c r="A13" s="164"/>
      <c r="B13" s="165"/>
      <c r="C13" s="221"/>
      <c r="D13" s="166"/>
      <c r="E13" s="220"/>
      <c r="F13" s="220"/>
      <c r="G13" s="220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5"/>
      <c r="AJ13" s="215"/>
      <c r="AK13" s="215"/>
      <c r="AL13" s="215"/>
      <c r="AM13" s="215"/>
    </row>
    <row r="14" spans="1:39" ht="16.5" thickBot="1" x14ac:dyDescent="0.3">
      <c r="A14" s="52" t="s">
        <v>580</v>
      </c>
      <c r="B14" s="52"/>
      <c r="C14" s="219">
        <f>C12</f>
        <v>476453</v>
      </c>
      <c r="D14" s="103"/>
      <c r="E14" s="216">
        <f>E12</f>
        <v>476453</v>
      </c>
      <c r="F14" s="216">
        <f t="shared" ref="F14:G14" si="0">F12</f>
        <v>476453</v>
      </c>
      <c r="G14" s="216">
        <f t="shared" si="0"/>
        <v>0</v>
      </c>
      <c r="H14" s="216">
        <f t="shared" ref="H14:AM14" si="1">SUM(H12:H12)</f>
        <v>0</v>
      </c>
      <c r="I14" s="216">
        <f t="shared" si="1"/>
        <v>0</v>
      </c>
      <c r="J14" s="216">
        <f t="shared" si="1"/>
        <v>0</v>
      </c>
      <c r="K14" s="216">
        <f t="shared" si="1"/>
        <v>0</v>
      </c>
      <c r="L14" s="216">
        <f t="shared" si="1"/>
        <v>0</v>
      </c>
      <c r="M14" s="216">
        <f t="shared" si="1"/>
        <v>0</v>
      </c>
      <c r="N14" s="216">
        <f t="shared" si="1"/>
        <v>0</v>
      </c>
      <c r="O14" s="216">
        <f t="shared" si="1"/>
        <v>0</v>
      </c>
      <c r="P14" s="216">
        <f t="shared" si="1"/>
        <v>110437</v>
      </c>
      <c r="Q14" s="216">
        <f t="shared" si="1"/>
        <v>0</v>
      </c>
      <c r="R14" s="216">
        <f t="shared" si="1"/>
        <v>87386</v>
      </c>
      <c r="S14" s="216">
        <f t="shared" si="1"/>
        <v>-4113.68</v>
      </c>
      <c r="T14" s="216">
        <f t="shared" si="1"/>
        <v>139322</v>
      </c>
      <c r="U14" s="216">
        <f t="shared" si="1"/>
        <v>45412</v>
      </c>
      <c r="V14" s="216">
        <f t="shared" si="1"/>
        <v>0</v>
      </c>
      <c r="W14" s="216">
        <f t="shared" si="1"/>
        <v>0</v>
      </c>
      <c r="X14" s="216">
        <f t="shared" si="1"/>
        <v>0</v>
      </c>
      <c r="Y14" s="216">
        <f t="shared" si="1"/>
        <v>0</v>
      </c>
      <c r="Z14" s="216">
        <f t="shared" si="1"/>
        <v>0</v>
      </c>
      <c r="AA14" s="216">
        <f t="shared" si="1"/>
        <v>0</v>
      </c>
      <c r="AB14" s="216">
        <f t="shared" si="1"/>
        <v>0</v>
      </c>
      <c r="AC14" s="216">
        <f t="shared" si="1"/>
        <v>0</v>
      </c>
      <c r="AD14" s="216">
        <f t="shared" si="1"/>
        <v>0</v>
      </c>
      <c r="AE14" s="216">
        <f t="shared" si="1"/>
        <v>98009.68</v>
      </c>
      <c r="AF14" s="216">
        <f t="shared" si="1"/>
        <v>0</v>
      </c>
      <c r="AG14" s="216">
        <f t="shared" si="1"/>
        <v>0</v>
      </c>
      <c r="AH14" s="216">
        <f t="shared" si="1"/>
        <v>0</v>
      </c>
      <c r="AI14" s="216">
        <f t="shared" si="1"/>
        <v>0</v>
      </c>
      <c r="AJ14" s="216">
        <f t="shared" si="1"/>
        <v>0</v>
      </c>
      <c r="AK14" s="216">
        <f t="shared" si="1"/>
        <v>0</v>
      </c>
      <c r="AL14" s="216">
        <f t="shared" si="1"/>
        <v>0</v>
      </c>
      <c r="AM14" s="216">
        <f t="shared" si="1"/>
        <v>0</v>
      </c>
    </row>
    <row r="17" spans="18:18" x14ac:dyDescent="0.25">
      <c r="R17" s="82"/>
    </row>
  </sheetData>
  <sheetProtection algorithmName="SHA-512" hashValue="s6h+lHZsJqKVP+GSKcqGNB0q/eXCgxmO9+YOwQQQ8NcPVcvDfHeWs9IsL/RdZfCNP2L6mse2/4hkDSL6g9foeA==" saltValue="6CZ5BqjZOi4gGyzB046ZL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CCFF"/>
  </sheetPr>
  <dimension ref="A1:BA225"/>
  <sheetViews>
    <sheetView zoomScaleNormal="100" workbookViewId="0">
      <pane xSplit="7" ySplit="11" topLeftCell="AT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U9" sqref="AU9"/>
    </sheetView>
  </sheetViews>
  <sheetFormatPr defaultColWidth="9.140625" defaultRowHeight="15" x14ac:dyDescent="0.25"/>
  <cols>
    <col min="1" max="1" width="8.28515625" style="124" customWidth="1"/>
    <col min="2" max="2" width="39.28515625" style="124" bestFit="1" customWidth="1"/>
    <col min="3" max="3" width="16.5703125" style="142" customWidth="1"/>
    <col min="4" max="4" width="17.5703125" style="141" customWidth="1"/>
    <col min="5" max="5" width="18.7109375" style="142" customWidth="1"/>
    <col min="6" max="6" width="17" style="142" customWidth="1"/>
    <col min="7" max="7" width="30.42578125" style="142" customWidth="1"/>
    <col min="8" max="19" width="15.7109375" style="142" customWidth="1"/>
    <col min="20" max="20" width="17.7109375" style="142" customWidth="1"/>
    <col min="21" max="46" width="15.7109375" style="142" customWidth="1"/>
    <col min="47" max="52" width="12.7109375" style="142" customWidth="1"/>
    <col min="53" max="16384" width="9.140625" style="142"/>
  </cols>
  <sheetData>
    <row r="1" spans="1:53" s="8" customFormat="1" ht="21" x14ac:dyDescent="0.35">
      <c r="A1" s="170" t="s">
        <v>0</v>
      </c>
      <c r="B1" s="125"/>
      <c r="C1" s="128" t="s">
        <v>385</v>
      </c>
      <c r="D1" s="137"/>
      <c r="E1" s="128"/>
      <c r="F1" s="83"/>
      <c r="G1" s="86"/>
      <c r="H1" s="87"/>
      <c r="I1" s="87"/>
      <c r="J1" s="128" t="str">
        <f>C1</f>
        <v>Title II-A Formula</v>
      </c>
      <c r="K1" s="128"/>
      <c r="L1" s="83"/>
      <c r="M1" s="83"/>
      <c r="N1" s="86"/>
      <c r="O1" s="86"/>
      <c r="P1" s="128" t="str">
        <f>C1</f>
        <v>Title II-A Formula</v>
      </c>
      <c r="Q1" s="87"/>
      <c r="R1" s="128"/>
      <c r="S1" s="128"/>
      <c r="T1" s="83"/>
      <c r="U1" s="83"/>
      <c r="V1" s="128" t="str">
        <f>C1</f>
        <v>Title II-A Formula</v>
      </c>
      <c r="W1" s="86"/>
      <c r="X1" s="87"/>
      <c r="Y1" s="87"/>
      <c r="Z1" s="128"/>
      <c r="AA1" s="128"/>
      <c r="AB1" s="128" t="str">
        <f>C1</f>
        <v>Title II-A Formula</v>
      </c>
      <c r="AC1" s="83"/>
      <c r="AD1" s="86"/>
      <c r="AE1" s="86"/>
      <c r="AF1" s="87"/>
      <c r="AG1" s="128" t="str">
        <f>C1</f>
        <v>Title II-A Formula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32"/>
      <c r="AX1" s="33"/>
      <c r="AY1" s="34"/>
    </row>
    <row r="2" spans="1:53" s="8" customFormat="1" ht="21" x14ac:dyDescent="0.35">
      <c r="A2" s="171" t="s">
        <v>1</v>
      </c>
      <c r="B2" s="125"/>
      <c r="C2" s="89">
        <v>84.367000000000004</v>
      </c>
      <c r="D2" s="140"/>
      <c r="E2" s="89"/>
      <c r="F2" s="88"/>
      <c r="G2" s="90"/>
      <c r="H2" s="87"/>
      <c r="I2" s="87"/>
      <c r="J2" s="88" t="str">
        <f>"FY"&amp;C4</f>
        <v>FY2018-2019</v>
      </c>
      <c r="K2" s="128"/>
      <c r="L2" s="129"/>
      <c r="M2" s="129"/>
      <c r="N2" s="90"/>
      <c r="O2" s="90"/>
      <c r="P2" s="88" t="str">
        <f>"FY"&amp;C4</f>
        <v>FY2018-2019</v>
      </c>
      <c r="Q2" s="90"/>
      <c r="R2" s="88"/>
      <c r="S2" s="128"/>
      <c r="T2" s="129" t="s">
        <v>384</v>
      </c>
      <c r="U2" s="129"/>
      <c r="V2" s="88" t="str">
        <f>"FY"&amp;C4</f>
        <v>FY2018-2019</v>
      </c>
      <c r="W2" s="90"/>
      <c r="X2" s="90"/>
      <c r="Y2" s="90"/>
      <c r="Z2" s="88"/>
      <c r="AA2" s="128"/>
      <c r="AB2" s="88" t="str">
        <f>"FY"&amp;C4</f>
        <v>FY2018-2019</v>
      </c>
      <c r="AC2" s="129"/>
      <c r="AD2" s="90"/>
      <c r="AE2" s="90"/>
      <c r="AF2" s="90"/>
      <c r="AG2" s="88" t="str">
        <f>"FY"&amp;C4</f>
        <v>FY2018-2019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35"/>
      <c r="AX2" s="37"/>
      <c r="AY2" s="36"/>
    </row>
    <row r="3" spans="1:53" s="8" customFormat="1" ht="15.75" x14ac:dyDescent="0.25">
      <c r="A3" s="171" t="s">
        <v>3</v>
      </c>
      <c r="B3" s="125"/>
      <c r="C3" s="129">
        <v>4367</v>
      </c>
      <c r="D3" s="138"/>
      <c r="E3" s="129"/>
      <c r="F3" s="88"/>
      <c r="G3" s="90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</row>
    <row r="4" spans="1:53" s="8" customFormat="1" ht="21" x14ac:dyDescent="0.35">
      <c r="A4" s="171" t="s">
        <v>2</v>
      </c>
      <c r="B4" s="125"/>
      <c r="C4" s="128" t="str">
        <f>'ESSA Title I-A Formula'!$C$4</f>
        <v>2018-2019</v>
      </c>
      <c r="D4" s="138"/>
      <c r="E4" s="129"/>
      <c r="F4" s="90"/>
      <c r="G4" s="90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53" s="8" customFormat="1" ht="15.75" x14ac:dyDescent="0.25">
      <c r="A5" s="171" t="s">
        <v>397</v>
      </c>
      <c r="B5" s="125"/>
      <c r="C5" s="74" t="s">
        <v>660</v>
      </c>
      <c r="D5" s="138"/>
      <c r="E5" s="88"/>
      <c r="F5" s="88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38"/>
      <c r="AX5" s="38"/>
    </row>
    <row r="6" spans="1:53" s="8" customFormat="1" ht="15.75" x14ac:dyDescent="0.25">
      <c r="A6" s="171" t="s">
        <v>4</v>
      </c>
      <c r="B6" s="125"/>
      <c r="C6" s="74" t="s">
        <v>365</v>
      </c>
      <c r="D6" s="138"/>
      <c r="E6" s="88"/>
      <c r="F6" s="88"/>
      <c r="G6" s="92"/>
      <c r="H6" s="92"/>
      <c r="I6" s="92"/>
      <c r="J6" s="92"/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38"/>
      <c r="AX6" s="38"/>
    </row>
    <row r="7" spans="1:53" s="8" customFormat="1" ht="15.75" x14ac:dyDescent="0.25">
      <c r="A7" s="171"/>
      <c r="B7" s="125"/>
      <c r="C7" s="84"/>
      <c r="D7" s="138"/>
      <c r="E7" s="88"/>
      <c r="F7" s="88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38"/>
      <c r="AX7" s="38"/>
    </row>
    <row r="8" spans="1:53" s="8" customFormat="1" ht="15.75" x14ac:dyDescent="0.25">
      <c r="A8" s="171" t="s">
        <v>379</v>
      </c>
      <c r="B8" s="125"/>
      <c r="C8" s="88" t="s">
        <v>603</v>
      </c>
      <c r="D8" s="138"/>
      <c r="E8" s="88"/>
      <c r="F8" s="90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38"/>
      <c r="AX8" s="38"/>
    </row>
    <row r="9" spans="1:53" s="8" customFormat="1" ht="15.75" x14ac:dyDescent="0.25">
      <c r="A9" s="171" t="s">
        <v>380</v>
      </c>
      <c r="B9" s="125"/>
      <c r="C9" s="88" t="s">
        <v>381</v>
      </c>
      <c r="D9" s="138"/>
      <c r="E9" s="88"/>
      <c r="F9" s="90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38"/>
      <c r="AX9" s="38"/>
    </row>
    <row r="10" spans="1:53" s="8" customFormat="1" ht="16.5" thickBot="1" x14ac:dyDescent="0.3">
      <c r="A10" s="171" t="s">
        <v>398</v>
      </c>
      <c r="B10" s="125"/>
      <c r="C10" s="88" t="s">
        <v>676</v>
      </c>
      <c r="D10" s="138"/>
      <c r="E10" s="88"/>
      <c r="F10" s="90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38"/>
      <c r="AX10" s="38"/>
    </row>
    <row r="11" spans="1:53" s="41" customFormat="1" ht="46.5" customHeight="1" thickBot="1" x14ac:dyDescent="0.3">
      <c r="A11" s="172" t="s">
        <v>366</v>
      </c>
      <c r="B11" s="118" t="s">
        <v>367</v>
      </c>
      <c r="C11" s="94" t="s">
        <v>368</v>
      </c>
      <c r="D11" s="114" t="s">
        <v>655</v>
      </c>
      <c r="E11" s="48" t="s">
        <v>646</v>
      </c>
      <c r="F11" s="46" t="s">
        <v>369</v>
      </c>
      <c r="G11" s="42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671</v>
      </c>
      <c r="AU11" s="107" t="s">
        <v>653</v>
      </c>
      <c r="AV11" s="107" t="s">
        <v>654</v>
      </c>
      <c r="AW11" s="40"/>
      <c r="AX11" s="40"/>
      <c r="AY11" s="40"/>
      <c r="AZ11" s="40"/>
      <c r="BA11" s="40"/>
    </row>
    <row r="12" spans="1:53" s="127" customFormat="1" ht="18" customHeight="1" thickBot="1" x14ac:dyDescent="0.35">
      <c r="A12" s="145" t="s">
        <v>7</v>
      </c>
      <c r="B12" s="144" t="s">
        <v>185</v>
      </c>
      <c r="C12" s="222">
        <v>192593</v>
      </c>
      <c r="D12" s="145"/>
      <c r="E12" s="198">
        <v>192593</v>
      </c>
      <c r="F12" s="198">
        <f>SUM(H12:AQ12)</f>
        <v>192593</v>
      </c>
      <c r="G12" s="198">
        <f>E12-(F12+AU12+AV12)</f>
        <v>0</v>
      </c>
      <c r="H12" s="225"/>
      <c r="I12" s="226"/>
      <c r="J12" s="226"/>
      <c r="K12" s="226"/>
      <c r="L12" s="226"/>
      <c r="M12" s="226"/>
      <c r="N12" s="226"/>
      <c r="O12" s="226"/>
      <c r="P12" s="226">
        <v>26302</v>
      </c>
      <c r="Q12" s="226">
        <v>5885</v>
      </c>
      <c r="R12" s="226">
        <v>4915</v>
      </c>
      <c r="S12" s="226">
        <v>7784</v>
      </c>
      <c r="T12" s="226">
        <v>44243</v>
      </c>
      <c r="V12" s="226">
        <v>89620.69</v>
      </c>
      <c r="W12" s="226">
        <v>9902.31</v>
      </c>
      <c r="X12" s="226">
        <v>3941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7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53" s="127" customFormat="1" ht="18" customHeight="1" thickBot="1" x14ac:dyDescent="0.35">
      <c r="A13" s="145" t="s">
        <v>8</v>
      </c>
      <c r="B13" s="144" t="s">
        <v>186</v>
      </c>
      <c r="C13" s="222">
        <v>858128</v>
      </c>
      <c r="D13" s="145"/>
      <c r="E13" s="198">
        <v>858128</v>
      </c>
      <c r="F13" s="198">
        <f t="shared" ref="F13:F76" si="0">SUM(H13:AQ13)</f>
        <v>858128</v>
      </c>
      <c r="G13" s="198">
        <f t="shared" ref="G13:G76" si="1">E13-(F13+AU13+AV13)</f>
        <v>0</v>
      </c>
      <c r="H13" s="225"/>
      <c r="I13" s="226"/>
      <c r="J13" s="226"/>
      <c r="K13" s="226"/>
      <c r="L13" s="226"/>
      <c r="M13" s="226"/>
      <c r="N13" s="226">
        <v>120743</v>
      </c>
      <c r="O13" s="226">
        <v>89100</v>
      </c>
      <c r="P13" s="226">
        <v>69119</v>
      </c>
      <c r="Q13" s="226">
        <v>63229</v>
      </c>
      <c r="R13" s="226">
        <v>63807</v>
      </c>
      <c r="S13" s="226">
        <v>107505</v>
      </c>
      <c r="T13" s="226">
        <v>70748</v>
      </c>
      <c r="U13" s="226">
        <f>77666</f>
        <v>77666</v>
      </c>
      <c r="V13" s="226">
        <v>18484</v>
      </c>
      <c r="W13" s="226"/>
      <c r="X13" s="226">
        <v>105071.65</v>
      </c>
      <c r="Y13" s="226">
        <v>72655.350000000006</v>
      </c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</row>
    <row r="14" spans="1:53" s="127" customFormat="1" ht="18" customHeight="1" thickBot="1" x14ac:dyDescent="0.35">
      <c r="A14" s="145" t="s">
        <v>9</v>
      </c>
      <c r="B14" s="144" t="s">
        <v>187</v>
      </c>
      <c r="C14" s="222">
        <v>339296</v>
      </c>
      <c r="D14" s="145"/>
      <c r="E14" s="198">
        <v>339296</v>
      </c>
      <c r="F14" s="198">
        <f t="shared" si="0"/>
        <v>339296</v>
      </c>
      <c r="G14" s="198">
        <f t="shared" si="1"/>
        <v>0</v>
      </c>
      <c r="H14" s="225"/>
      <c r="I14" s="226"/>
      <c r="J14" s="226"/>
      <c r="K14" s="226"/>
      <c r="L14" s="226"/>
      <c r="M14" s="226"/>
      <c r="N14" s="226">
        <f>57398+43736</f>
        <v>101134</v>
      </c>
      <c r="O14" s="226">
        <v>29365</v>
      </c>
      <c r="P14" s="226">
        <v>29365</v>
      </c>
      <c r="Q14" s="226">
        <v>29365</v>
      </c>
      <c r="R14" s="226">
        <v>29364</v>
      </c>
      <c r="S14" s="226">
        <v>38466</v>
      </c>
      <c r="T14" s="226">
        <v>30368</v>
      </c>
      <c r="U14" s="226">
        <v>30866</v>
      </c>
      <c r="V14" s="226">
        <v>19097</v>
      </c>
      <c r="W14" s="226"/>
      <c r="X14" s="226"/>
      <c r="Y14" s="226"/>
      <c r="Z14" s="226">
        <v>1906</v>
      </c>
      <c r="AA14" s="226"/>
      <c r="AB14" s="226"/>
      <c r="AC14" s="226"/>
      <c r="AD14" s="226"/>
      <c r="AE14" s="226"/>
      <c r="AF14" s="226"/>
      <c r="AG14" s="226"/>
      <c r="AH14" s="226"/>
      <c r="AI14" s="227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</row>
    <row r="15" spans="1:53" s="127" customFormat="1" ht="18" customHeight="1" thickBot="1" x14ac:dyDescent="0.35">
      <c r="A15" s="145" t="s">
        <v>10</v>
      </c>
      <c r="B15" s="144" t="s">
        <v>188</v>
      </c>
      <c r="C15" s="222">
        <v>305816</v>
      </c>
      <c r="D15" s="145"/>
      <c r="E15" s="198">
        <v>305816</v>
      </c>
      <c r="F15" s="198">
        <f t="shared" si="0"/>
        <v>305816</v>
      </c>
      <c r="G15" s="198">
        <f t="shared" si="1"/>
        <v>0</v>
      </c>
      <c r="H15" s="225"/>
      <c r="I15" s="226"/>
      <c r="J15" s="226"/>
      <c r="K15" s="226"/>
      <c r="L15" s="226"/>
      <c r="M15" s="226"/>
      <c r="N15" s="226"/>
      <c r="O15" s="226"/>
      <c r="P15" s="226"/>
      <c r="Q15" s="226">
        <v>63691</v>
      </c>
      <c r="R15" s="226"/>
      <c r="S15" s="226">
        <v>71728</v>
      </c>
      <c r="T15" s="226"/>
      <c r="U15" s="226"/>
      <c r="V15" s="226"/>
      <c r="W15" s="226">
        <v>17383</v>
      </c>
      <c r="X15" s="226"/>
      <c r="Y15" s="226"/>
      <c r="Z15" s="226">
        <v>96153</v>
      </c>
      <c r="AA15" s="226"/>
      <c r="AB15" s="226">
        <v>46953</v>
      </c>
      <c r="AC15" s="226">
        <v>9908</v>
      </c>
      <c r="AD15" s="226"/>
      <c r="AE15" s="226"/>
      <c r="AF15" s="226"/>
      <c r="AG15" s="226"/>
      <c r="AH15" s="226"/>
      <c r="AI15" s="227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</row>
    <row r="16" spans="1:53" s="127" customFormat="1" ht="18" customHeight="1" thickBot="1" x14ac:dyDescent="0.35">
      <c r="A16" s="145" t="s">
        <v>11</v>
      </c>
      <c r="B16" s="144" t="s">
        <v>189</v>
      </c>
      <c r="C16" s="222">
        <v>20700</v>
      </c>
      <c r="D16" s="145" t="s">
        <v>371</v>
      </c>
      <c r="E16" s="198">
        <v>0</v>
      </c>
      <c r="F16" s="198">
        <f t="shared" si="0"/>
        <v>0</v>
      </c>
      <c r="G16" s="198">
        <f t="shared" si="1"/>
        <v>0</v>
      </c>
      <c r="H16" s="225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7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</row>
    <row r="17" spans="1:48" s="127" customFormat="1" ht="18" customHeight="1" thickBot="1" x14ac:dyDescent="0.35">
      <c r="A17" s="145" t="s">
        <v>12</v>
      </c>
      <c r="B17" s="144" t="s">
        <v>190</v>
      </c>
      <c r="C17" s="222">
        <v>17741</v>
      </c>
      <c r="D17" s="145" t="s">
        <v>371</v>
      </c>
      <c r="E17" s="198">
        <v>0</v>
      </c>
      <c r="F17" s="198">
        <f t="shared" si="0"/>
        <v>0</v>
      </c>
      <c r="G17" s="198">
        <f t="shared" si="1"/>
        <v>0</v>
      </c>
      <c r="H17" s="225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7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48" s="127" customFormat="1" ht="18" customHeight="1" thickBot="1" x14ac:dyDescent="0.35">
      <c r="A18" s="145" t="s">
        <v>13</v>
      </c>
      <c r="B18" s="144" t="s">
        <v>191</v>
      </c>
      <c r="C18" s="222">
        <v>427399</v>
      </c>
      <c r="D18" s="145"/>
      <c r="E18" s="198">
        <v>427399</v>
      </c>
      <c r="F18" s="198">
        <f t="shared" si="0"/>
        <v>427399</v>
      </c>
      <c r="G18" s="198">
        <f t="shared" si="1"/>
        <v>0</v>
      </c>
      <c r="H18" s="225"/>
      <c r="I18" s="226"/>
      <c r="J18" s="226"/>
      <c r="K18" s="226"/>
      <c r="L18" s="226"/>
      <c r="M18" s="226">
        <f>112588+23777</f>
        <v>136365</v>
      </c>
      <c r="N18" s="226"/>
      <c r="O18" s="226">
        <f>26351+28033</f>
        <v>54384</v>
      </c>
      <c r="P18" s="226">
        <v>35422</v>
      </c>
      <c r="Q18" s="226"/>
      <c r="R18" s="226">
        <f>27005+17566</f>
        <v>44571</v>
      </c>
      <c r="S18" s="226">
        <v>69010</v>
      </c>
      <c r="T18" s="226">
        <v>24440.880000000001</v>
      </c>
      <c r="U18" s="226"/>
      <c r="V18" s="226">
        <v>23829.98</v>
      </c>
      <c r="W18" s="226">
        <v>3524.03</v>
      </c>
      <c r="X18" s="226"/>
      <c r="Y18" s="226">
        <f>30394.12+5457.99</f>
        <v>35852.11</v>
      </c>
      <c r="Z18" s="226"/>
      <c r="AA18" s="226"/>
      <c r="AB18" s="226"/>
      <c r="AC18" s="226"/>
      <c r="AD18" s="226"/>
      <c r="AE18" s="226"/>
      <c r="AF18" s="226"/>
      <c r="AG18" s="226"/>
      <c r="AH18" s="226"/>
      <c r="AI18" s="227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</row>
    <row r="19" spans="1:48" s="127" customFormat="1" ht="18" customHeight="1" thickBot="1" x14ac:dyDescent="0.35">
      <c r="A19" s="145" t="s">
        <v>14</v>
      </c>
      <c r="B19" s="144" t="s">
        <v>192</v>
      </c>
      <c r="C19" s="222">
        <v>120786</v>
      </c>
      <c r="D19" s="145"/>
      <c r="E19" s="198">
        <v>120786</v>
      </c>
      <c r="F19" s="198">
        <f t="shared" si="0"/>
        <v>120786</v>
      </c>
      <c r="G19" s="198">
        <f t="shared" si="1"/>
        <v>0</v>
      </c>
      <c r="H19" s="225"/>
      <c r="I19" s="226"/>
      <c r="J19" s="226"/>
      <c r="K19" s="226"/>
      <c r="L19" s="226"/>
      <c r="M19" s="226"/>
      <c r="N19" s="226">
        <f>2789+10241+9939+6042</f>
        <v>29011</v>
      </c>
      <c r="O19" s="226">
        <v>8567</v>
      </c>
      <c r="P19" s="226">
        <v>8167</v>
      </c>
      <c r="Q19" s="226">
        <v>8538</v>
      </c>
      <c r="R19" s="226">
        <v>9798</v>
      </c>
      <c r="S19" s="226">
        <v>16729</v>
      </c>
      <c r="T19" s="226">
        <v>14046</v>
      </c>
      <c r="U19" s="226">
        <v>8867</v>
      </c>
      <c r="V19" s="226">
        <v>11867.8</v>
      </c>
      <c r="W19" s="226">
        <v>5195.2</v>
      </c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7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</row>
    <row r="20" spans="1:48" s="127" customFormat="1" ht="18" customHeight="1" thickBot="1" x14ac:dyDescent="0.35">
      <c r="A20" s="145" t="s">
        <v>15</v>
      </c>
      <c r="B20" s="144" t="s">
        <v>193</v>
      </c>
      <c r="C20" s="222">
        <v>13461</v>
      </c>
      <c r="D20" s="145"/>
      <c r="E20" s="198">
        <v>13461</v>
      </c>
      <c r="F20" s="198">
        <f t="shared" si="0"/>
        <v>13461</v>
      </c>
      <c r="G20" s="198">
        <f t="shared" si="1"/>
        <v>0</v>
      </c>
      <c r="H20" s="225"/>
      <c r="I20" s="226"/>
      <c r="J20" s="226"/>
      <c r="K20" s="226"/>
      <c r="L20" s="226"/>
      <c r="M20" s="226"/>
      <c r="N20" s="226"/>
      <c r="O20" s="226"/>
      <c r="P20" s="226">
        <v>10046</v>
      </c>
      <c r="Q20" s="226"/>
      <c r="R20" s="226">
        <v>3259</v>
      </c>
      <c r="S20" s="226">
        <v>156</v>
      </c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7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</row>
    <row r="21" spans="1:48" s="127" customFormat="1" ht="18" customHeight="1" thickBot="1" x14ac:dyDescent="0.35">
      <c r="A21" s="145" t="s">
        <v>16</v>
      </c>
      <c r="B21" s="144" t="s">
        <v>194</v>
      </c>
      <c r="C21" s="222">
        <v>109289</v>
      </c>
      <c r="D21" s="145"/>
      <c r="E21" s="198">
        <v>109289</v>
      </c>
      <c r="F21" s="198">
        <f t="shared" si="0"/>
        <v>109289</v>
      </c>
      <c r="G21" s="198">
        <f t="shared" si="1"/>
        <v>0</v>
      </c>
      <c r="H21" s="225"/>
      <c r="I21" s="226"/>
      <c r="J21" s="226"/>
      <c r="K21" s="226"/>
      <c r="L21" s="226">
        <v>18603</v>
      </c>
      <c r="M21" s="226">
        <v>9890</v>
      </c>
      <c r="N21" s="226">
        <v>9353</v>
      </c>
      <c r="O21" s="226">
        <v>8475</v>
      </c>
      <c r="P21" s="226">
        <v>9903</v>
      </c>
      <c r="Q21" s="226">
        <v>9973</v>
      </c>
      <c r="R21" s="226">
        <v>9449</v>
      </c>
      <c r="S21" s="226">
        <v>9450</v>
      </c>
      <c r="T21" s="226">
        <v>9160</v>
      </c>
      <c r="U21" s="226">
        <v>7601</v>
      </c>
      <c r="V21" s="226"/>
      <c r="W21" s="226">
        <v>7432</v>
      </c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7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</row>
    <row r="22" spans="1:48" s="127" customFormat="1" ht="18" customHeight="1" thickBot="1" x14ac:dyDescent="0.35">
      <c r="A22" s="145" t="s">
        <v>17</v>
      </c>
      <c r="B22" s="144" t="s">
        <v>195</v>
      </c>
      <c r="C22" s="222">
        <v>70272</v>
      </c>
      <c r="D22" s="145"/>
      <c r="E22" s="198">
        <v>70272</v>
      </c>
      <c r="F22" s="198">
        <f t="shared" si="0"/>
        <v>70272</v>
      </c>
      <c r="G22" s="198">
        <f t="shared" si="1"/>
        <v>0</v>
      </c>
      <c r="H22" s="225"/>
      <c r="I22" s="226"/>
      <c r="J22" s="226"/>
      <c r="K22" s="226"/>
      <c r="L22" s="226"/>
      <c r="M22" s="226"/>
      <c r="O22" s="226"/>
      <c r="P22" s="226"/>
      <c r="Q22" s="226">
        <v>35500</v>
      </c>
      <c r="R22" s="226"/>
      <c r="S22" s="226">
        <v>4620</v>
      </c>
      <c r="T22" s="226"/>
      <c r="U22" s="226">
        <v>8692.1299999999992</v>
      </c>
      <c r="V22" s="226">
        <v>1581.34</v>
      </c>
      <c r="W22" s="226"/>
      <c r="X22" s="226"/>
      <c r="Y22" s="226"/>
      <c r="Z22" s="226">
        <v>19878.53</v>
      </c>
      <c r="AA22" s="226"/>
      <c r="AB22" s="226"/>
      <c r="AC22" s="226"/>
      <c r="AD22" s="226"/>
      <c r="AE22" s="226"/>
      <c r="AF22" s="226"/>
      <c r="AG22" s="226"/>
      <c r="AH22" s="226"/>
      <c r="AI22" s="227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</row>
    <row r="23" spans="1:48" s="127" customFormat="1" ht="18" customHeight="1" thickBot="1" x14ac:dyDescent="0.35">
      <c r="A23" s="145" t="s">
        <v>18</v>
      </c>
      <c r="B23" s="144" t="s">
        <v>196</v>
      </c>
      <c r="C23" s="222">
        <v>918054</v>
      </c>
      <c r="D23" s="145"/>
      <c r="E23" s="198">
        <v>918054</v>
      </c>
      <c r="F23" s="198">
        <f t="shared" si="0"/>
        <v>918054</v>
      </c>
      <c r="G23" s="198">
        <f t="shared" si="1"/>
        <v>0</v>
      </c>
      <c r="H23" s="225"/>
      <c r="I23" s="226"/>
      <c r="J23" s="226"/>
      <c r="K23" s="226"/>
      <c r="L23" s="226"/>
      <c r="M23" s="226"/>
      <c r="N23" s="226">
        <v>51397</v>
      </c>
      <c r="O23" s="226">
        <v>86355</v>
      </c>
      <c r="P23" s="226">
        <v>141198</v>
      </c>
      <c r="Q23" s="226">
        <v>66497</v>
      </c>
      <c r="R23" s="226">
        <v>71004</v>
      </c>
      <c r="S23" s="226">
        <v>136064</v>
      </c>
      <c r="T23" s="226"/>
      <c r="U23" s="226">
        <v>154142.20000000001</v>
      </c>
      <c r="V23" s="226">
        <v>28715.25</v>
      </c>
      <c r="W23" s="226"/>
      <c r="X23" s="226"/>
      <c r="Y23" s="226"/>
      <c r="Z23" s="226">
        <f>60423.22+122258.33</f>
        <v>182681.55</v>
      </c>
      <c r="AA23" s="226"/>
      <c r="AB23" s="226"/>
      <c r="AC23" s="226"/>
      <c r="AD23" s="226"/>
      <c r="AE23" s="226"/>
      <c r="AF23" s="226"/>
      <c r="AG23" s="226"/>
      <c r="AH23" s="226"/>
      <c r="AI23" s="227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</row>
    <row r="24" spans="1:48" s="127" customFormat="1" ht="18" customHeight="1" thickBot="1" x14ac:dyDescent="0.35">
      <c r="A24" s="145" t="s">
        <v>19</v>
      </c>
      <c r="B24" s="144" t="s">
        <v>197</v>
      </c>
      <c r="C24" s="222">
        <v>218969</v>
      </c>
      <c r="D24" s="145"/>
      <c r="E24" s="198">
        <v>218969</v>
      </c>
      <c r="F24" s="198">
        <f t="shared" si="0"/>
        <v>218969.00000000003</v>
      </c>
      <c r="G24" s="198">
        <f t="shared" si="1"/>
        <v>0</v>
      </c>
      <c r="H24" s="225"/>
      <c r="I24" s="226"/>
      <c r="J24" s="226"/>
      <c r="K24" s="226"/>
      <c r="L24" s="226">
        <v>26539</v>
      </c>
      <c r="M24" s="226">
        <v>7287</v>
      </c>
      <c r="N24" s="226">
        <v>18265</v>
      </c>
      <c r="O24" s="226"/>
      <c r="P24" s="226"/>
      <c r="Q24" s="226"/>
      <c r="R24" s="226"/>
      <c r="S24" s="226">
        <v>2373</v>
      </c>
      <c r="T24" s="226">
        <v>50547</v>
      </c>
      <c r="U24" s="226">
        <v>19031</v>
      </c>
      <c r="V24" s="226"/>
      <c r="W24" s="226">
        <v>35717.629999999997</v>
      </c>
      <c r="X24" s="226">
        <v>1859.67</v>
      </c>
      <c r="Y24" s="226">
        <v>3734.67</v>
      </c>
      <c r="Z24" s="226">
        <v>1962.51</v>
      </c>
      <c r="AA24" s="226"/>
      <c r="AB24" s="226">
        <f>3028.17+2741.73</f>
        <v>5769.9</v>
      </c>
      <c r="AC24" s="226">
        <v>3705.74</v>
      </c>
      <c r="AD24" s="226">
        <v>2304.41</v>
      </c>
      <c r="AE24" s="226">
        <v>30663.74</v>
      </c>
      <c r="AF24" s="226">
        <v>5781.26</v>
      </c>
      <c r="AG24" s="226"/>
      <c r="AH24" s="226"/>
      <c r="AI24" s="227"/>
      <c r="AJ24" s="228"/>
      <c r="AK24" s="228"/>
      <c r="AL24" s="306">
        <v>3427.47</v>
      </c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</row>
    <row r="25" spans="1:48" s="127" customFormat="1" ht="18" customHeight="1" thickBot="1" x14ac:dyDescent="0.35">
      <c r="A25" s="145" t="s">
        <v>20</v>
      </c>
      <c r="B25" s="144" t="s">
        <v>198</v>
      </c>
      <c r="C25" s="222">
        <v>5433</v>
      </c>
      <c r="D25" s="145" t="s">
        <v>371</v>
      </c>
      <c r="E25" s="198">
        <v>0</v>
      </c>
      <c r="F25" s="198">
        <f t="shared" si="0"/>
        <v>0</v>
      </c>
      <c r="G25" s="198">
        <f t="shared" si="1"/>
        <v>0</v>
      </c>
      <c r="H25" s="225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</row>
    <row r="26" spans="1:48" s="127" customFormat="1" ht="18" customHeight="1" thickBot="1" x14ac:dyDescent="0.35">
      <c r="A26" s="145" t="s">
        <v>21</v>
      </c>
      <c r="B26" s="144" t="s">
        <v>199</v>
      </c>
      <c r="C26" s="222">
        <v>1461880</v>
      </c>
      <c r="D26" s="145"/>
      <c r="E26" s="198">
        <v>1461880</v>
      </c>
      <c r="F26" s="198">
        <f t="shared" si="0"/>
        <v>1461880</v>
      </c>
      <c r="G26" s="198">
        <f t="shared" si="1"/>
        <v>0</v>
      </c>
      <c r="H26" s="225"/>
      <c r="I26" s="226"/>
      <c r="J26" s="226"/>
      <c r="K26" s="226"/>
      <c r="L26" s="226"/>
      <c r="M26" s="226"/>
      <c r="N26" s="226">
        <v>29716</v>
      </c>
      <c r="O26" s="226">
        <v>110484</v>
      </c>
      <c r="P26" s="226">
        <v>141740</v>
      </c>
      <c r="Q26" s="226">
        <v>108406</v>
      </c>
      <c r="R26" s="226">
        <v>113543</v>
      </c>
      <c r="S26" s="226">
        <v>192481</v>
      </c>
      <c r="T26" s="226"/>
      <c r="U26" s="226"/>
      <c r="V26" s="226"/>
      <c r="W26" s="226">
        <v>379317</v>
      </c>
      <c r="X26" s="226">
        <v>317679.78999999998</v>
      </c>
      <c r="Y26" s="226"/>
      <c r="Z26" s="226">
        <v>68513.210000000006</v>
      </c>
      <c r="AA26" s="226"/>
      <c r="AB26" s="226"/>
      <c r="AC26" s="226"/>
      <c r="AD26" s="226"/>
      <c r="AE26" s="226"/>
      <c r="AF26" s="226"/>
      <c r="AG26" s="226"/>
      <c r="AH26" s="226"/>
      <c r="AI26" s="227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</row>
    <row r="27" spans="1:48" s="127" customFormat="1" ht="18" customHeight="1" thickBot="1" x14ac:dyDescent="0.35">
      <c r="A27" s="145" t="s">
        <v>22</v>
      </c>
      <c r="B27" s="144" t="s">
        <v>200</v>
      </c>
      <c r="C27" s="222">
        <v>9022</v>
      </c>
      <c r="D27" s="145" t="s">
        <v>371</v>
      </c>
      <c r="E27" s="198">
        <v>0</v>
      </c>
      <c r="F27" s="198">
        <f t="shared" si="0"/>
        <v>0</v>
      </c>
      <c r="G27" s="198">
        <f t="shared" si="1"/>
        <v>0</v>
      </c>
      <c r="H27" s="225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7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</row>
    <row r="28" spans="1:48" s="127" customFormat="1" ht="18" customHeight="1" thickBot="1" x14ac:dyDescent="0.35">
      <c r="A28" s="145" t="s">
        <v>23</v>
      </c>
      <c r="B28" s="144" t="s">
        <v>201</v>
      </c>
      <c r="C28" s="222">
        <v>60474</v>
      </c>
      <c r="D28" s="145"/>
      <c r="E28" s="198">
        <v>60474</v>
      </c>
      <c r="F28" s="198">
        <f t="shared" si="0"/>
        <v>60474</v>
      </c>
      <c r="G28" s="198">
        <f t="shared" si="1"/>
        <v>0</v>
      </c>
      <c r="H28" s="225"/>
      <c r="I28" s="226"/>
      <c r="J28" s="226"/>
      <c r="K28" s="226"/>
      <c r="L28" s="226"/>
      <c r="M28" s="226"/>
      <c r="N28" s="226"/>
      <c r="O28" s="226"/>
      <c r="P28" s="226">
        <v>29129</v>
      </c>
      <c r="Q28" s="226">
        <v>5845</v>
      </c>
      <c r="R28" s="226"/>
      <c r="S28" s="226">
        <v>10809</v>
      </c>
      <c r="T28" s="226">
        <v>5605</v>
      </c>
      <c r="U28" s="226"/>
      <c r="V28" s="226">
        <v>9086</v>
      </c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7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</row>
    <row r="29" spans="1:48" s="127" customFormat="1" ht="18" customHeight="1" thickBot="1" x14ac:dyDescent="0.35">
      <c r="A29" s="145" t="s">
        <v>24</v>
      </c>
      <c r="B29" s="144" t="s">
        <v>202</v>
      </c>
      <c r="C29" s="222">
        <v>4109</v>
      </c>
      <c r="D29" s="145"/>
      <c r="E29" s="198">
        <v>4109</v>
      </c>
      <c r="F29" s="198">
        <f t="shared" si="0"/>
        <v>4109</v>
      </c>
      <c r="G29" s="198">
        <f t="shared" si="1"/>
        <v>0</v>
      </c>
      <c r="H29" s="225"/>
      <c r="I29" s="226"/>
      <c r="J29" s="226"/>
      <c r="K29" s="226"/>
      <c r="L29" s="226"/>
      <c r="M29" s="226">
        <v>4074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>
        <v>35</v>
      </c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7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</row>
    <row r="30" spans="1:48" s="127" customFormat="1" ht="18" customHeight="1" thickBot="1" x14ac:dyDescent="0.35">
      <c r="A30" s="145" t="s">
        <v>25</v>
      </c>
      <c r="B30" s="144" t="s">
        <v>203</v>
      </c>
      <c r="C30" s="222">
        <v>1702</v>
      </c>
      <c r="D30" s="145"/>
      <c r="E30" s="198">
        <v>1702</v>
      </c>
      <c r="F30" s="198">
        <f t="shared" si="0"/>
        <v>1702</v>
      </c>
      <c r="G30" s="198">
        <f t="shared" si="1"/>
        <v>0</v>
      </c>
      <c r="H30" s="225"/>
      <c r="I30" s="226"/>
      <c r="J30" s="226"/>
      <c r="K30" s="226"/>
      <c r="L30" s="226"/>
      <c r="M30" s="226"/>
      <c r="N30" s="226"/>
      <c r="O30" s="226"/>
      <c r="P30" s="226"/>
      <c r="Q30" s="226"/>
      <c r="R30" s="226">
        <v>1702</v>
      </c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7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</row>
    <row r="31" spans="1:48" s="127" customFormat="1" ht="18" customHeight="1" thickBot="1" x14ac:dyDescent="0.35">
      <c r="A31" s="145" t="s">
        <v>26</v>
      </c>
      <c r="B31" s="144" t="s">
        <v>204</v>
      </c>
      <c r="C31" s="222">
        <v>16203</v>
      </c>
      <c r="D31" s="145"/>
      <c r="E31" s="198">
        <v>16203</v>
      </c>
      <c r="F31" s="198">
        <f t="shared" si="0"/>
        <v>16203</v>
      </c>
      <c r="G31" s="198">
        <f t="shared" si="1"/>
        <v>0</v>
      </c>
      <c r="H31" s="225"/>
      <c r="I31" s="226"/>
      <c r="J31" s="226"/>
      <c r="K31" s="226"/>
      <c r="L31" s="226"/>
      <c r="M31" s="226">
        <v>8062</v>
      </c>
      <c r="N31" s="226"/>
      <c r="O31" s="226"/>
      <c r="P31" s="226">
        <v>8141</v>
      </c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7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</row>
    <row r="32" spans="1:48" s="127" customFormat="1" ht="18" customHeight="1" thickBot="1" x14ac:dyDescent="0.35">
      <c r="A32" s="145" t="s">
        <v>27</v>
      </c>
      <c r="B32" s="144" t="s">
        <v>205</v>
      </c>
      <c r="C32" s="222">
        <v>2426</v>
      </c>
      <c r="D32" s="145"/>
      <c r="E32" s="198">
        <v>2426</v>
      </c>
      <c r="F32" s="198">
        <f t="shared" si="0"/>
        <v>2426</v>
      </c>
      <c r="G32" s="198">
        <f t="shared" si="1"/>
        <v>0</v>
      </c>
      <c r="H32" s="225"/>
      <c r="I32" s="226"/>
      <c r="J32" s="226"/>
      <c r="K32" s="226"/>
      <c r="L32" s="226"/>
      <c r="M32" s="226"/>
      <c r="N32" s="226"/>
      <c r="O32" s="226"/>
      <c r="P32" s="226"/>
      <c r="Q32" s="226">
        <v>2403</v>
      </c>
      <c r="R32" s="226"/>
      <c r="S32" s="226">
        <v>23</v>
      </c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7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</row>
    <row r="33" spans="1:48" s="127" customFormat="1" ht="18" customHeight="1" thickBot="1" x14ac:dyDescent="0.35">
      <c r="A33" s="145" t="s">
        <v>28</v>
      </c>
      <c r="B33" s="144" t="s">
        <v>206</v>
      </c>
      <c r="C33" s="222">
        <v>1040</v>
      </c>
      <c r="D33" s="145"/>
      <c r="E33" s="198">
        <v>1040</v>
      </c>
      <c r="F33" s="198">
        <f t="shared" si="0"/>
        <v>1040</v>
      </c>
      <c r="G33" s="198">
        <f t="shared" si="1"/>
        <v>0</v>
      </c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26">
        <f>182+858</f>
        <v>1040</v>
      </c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7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</row>
    <row r="34" spans="1:48" s="127" customFormat="1" ht="18" customHeight="1" thickBot="1" x14ac:dyDescent="0.35">
      <c r="A34" s="145" t="s">
        <v>29</v>
      </c>
      <c r="B34" s="144" t="s">
        <v>207</v>
      </c>
      <c r="C34" s="222">
        <v>30450</v>
      </c>
      <c r="D34" s="145"/>
      <c r="E34" s="198">
        <v>30450</v>
      </c>
      <c r="F34" s="198">
        <f t="shared" si="0"/>
        <v>30450</v>
      </c>
      <c r="G34" s="198">
        <f t="shared" si="1"/>
        <v>0</v>
      </c>
      <c r="H34" s="225"/>
      <c r="I34" s="226"/>
      <c r="J34" s="226"/>
      <c r="K34" s="226"/>
      <c r="L34" s="226"/>
      <c r="M34" s="226"/>
      <c r="N34" s="226"/>
      <c r="O34" s="226"/>
      <c r="P34" s="226"/>
      <c r="Q34" s="226"/>
      <c r="R34" s="226">
        <v>25329</v>
      </c>
      <c r="S34" s="226">
        <v>5121</v>
      </c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7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</row>
    <row r="35" spans="1:48" s="127" customFormat="1" ht="18" customHeight="1" thickBot="1" x14ac:dyDescent="0.35">
      <c r="A35" s="145" t="s">
        <v>30</v>
      </c>
      <c r="B35" s="144" t="s">
        <v>208</v>
      </c>
      <c r="C35" s="222">
        <v>5964</v>
      </c>
      <c r="D35" s="145"/>
      <c r="E35" s="198">
        <v>5964</v>
      </c>
      <c r="F35" s="198">
        <f t="shared" si="0"/>
        <v>5964</v>
      </c>
      <c r="G35" s="198">
        <f t="shared" si="1"/>
        <v>0</v>
      </c>
      <c r="H35" s="225"/>
      <c r="I35" s="226"/>
      <c r="J35" s="226"/>
      <c r="K35" s="226"/>
      <c r="L35" s="226"/>
      <c r="M35" s="226"/>
      <c r="N35" s="226"/>
      <c r="O35" s="226"/>
      <c r="P35" s="226">
        <v>5209</v>
      </c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>
        <v>755</v>
      </c>
      <c r="AD35" s="226"/>
      <c r="AE35" s="226"/>
      <c r="AF35" s="226"/>
      <c r="AG35" s="226"/>
      <c r="AH35" s="226"/>
      <c r="AI35" s="227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</row>
    <row r="36" spans="1:48" s="127" customFormat="1" ht="18" customHeight="1" thickBot="1" x14ac:dyDescent="0.35">
      <c r="A36" s="145" t="s">
        <v>31</v>
      </c>
      <c r="B36" s="144" t="s">
        <v>209</v>
      </c>
      <c r="C36" s="222">
        <v>578827</v>
      </c>
      <c r="D36" s="145"/>
      <c r="E36" s="198">
        <v>578827</v>
      </c>
      <c r="F36" s="198">
        <f t="shared" si="0"/>
        <v>578827</v>
      </c>
      <c r="G36" s="198">
        <f t="shared" si="1"/>
        <v>0</v>
      </c>
      <c r="H36" s="225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>
        <f>59861-47507</f>
        <v>12354</v>
      </c>
      <c r="T36" s="226"/>
      <c r="U36" s="226"/>
      <c r="V36" s="226"/>
      <c r="W36" s="226">
        <v>234430.93</v>
      </c>
      <c r="X36" s="226">
        <v>197238</v>
      </c>
      <c r="Y36" s="226">
        <v>74275</v>
      </c>
      <c r="Z36" s="226">
        <v>25054.17</v>
      </c>
      <c r="AA36" s="226">
        <v>35474.9</v>
      </c>
      <c r="AB36" s="226"/>
      <c r="AC36" s="226"/>
      <c r="AD36" s="226"/>
      <c r="AE36" s="226"/>
      <c r="AF36" s="226"/>
      <c r="AG36" s="226"/>
      <c r="AH36" s="226"/>
      <c r="AI36" s="227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</row>
    <row r="37" spans="1:48" s="127" customFormat="1" ht="18" customHeight="1" thickBot="1" x14ac:dyDescent="0.35">
      <c r="A37" s="145" t="s">
        <v>32</v>
      </c>
      <c r="B37" s="144" t="s">
        <v>210</v>
      </c>
      <c r="C37" s="222">
        <v>432463</v>
      </c>
      <c r="D37" s="145"/>
      <c r="E37" s="198">
        <v>432463</v>
      </c>
      <c r="F37" s="198">
        <f t="shared" si="0"/>
        <v>432463</v>
      </c>
      <c r="G37" s="198">
        <f t="shared" si="1"/>
        <v>0</v>
      </c>
      <c r="H37" s="225"/>
      <c r="I37" s="226"/>
      <c r="J37" s="226"/>
      <c r="K37" s="226"/>
      <c r="L37" s="226">
        <f>101292+59368</f>
        <v>160660</v>
      </c>
      <c r="M37" s="226">
        <v>43897</v>
      </c>
      <c r="N37" s="226">
        <v>50578</v>
      </c>
      <c r="O37" s="226">
        <v>54160</v>
      </c>
      <c r="P37" s="226"/>
      <c r="Q37" s="226">
        <f>38929+43352</f>
        <v>82281</v>
      </c>
      <c r="R37" s="226">
        <v>40887</v>
      </c>
      <c r="S37" s="201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7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</row>
    <row r="38" spans="1:48" s="127" customFormat="1" ht="18" customHeight="1" thickBot="1" x14ac:dyDescent="0.35">
      <c r="A38" s="145" t="s">
        <v>33</v>
      </c>
      <c r="B38" s="144" t="s">
        <v>211</v>
      </c>
      <c r="C38" s="222">
        <v>29480</v>
      </c>
      <c r="D38" s="145"/>
      <c r="E38" s="198">
        <v>29480</v>
      </c>
      <c r="F38" s="198">
        <f t="shared" si="0"/>
        <v>29480</v>
      </c>
      <c r="G38" s="198">
        <f t="shared" si="1"/>
        <v>0</v>
      </c>
      <c r="H38" s="225"/>
      <c r="I38" s="226"/>
      <c r="J38" s="226"/>
      <c r="K38" s="226"/>
      <c r="L38" s="226"/>
      <c r="M38" s="226">
        <v>14610</v>
      </c>
      <c r="N38" s="226"/>
      <c r="O38" s="226"/>
      <c r="P38" s="226"/>
      <c r="Q38" s="226"/>
      <c r="R38" s="226"/>
      <c r="S38" s="226">
        <v>14661</v>
      </c>
      <c r="T38" s="226"/>
      <c r="U38" s="226"/>
      <c r="V38" s="226"/>
      <c r="W38" s="226"/>
      <c r="X38" s="226"/>
      <c r="Y38" s="226">
        <v>209</v>
      </c>
      <c r="Z38" s="226"/>
      <c r="AA38" s="226"/>
      <c r="AB38" s="226"/>
      <c r="AC38" s="226"/>
      <c r="AD38" s="226"/>
      <c r="AE38" s="226"/>
      <c r="AF38" s="226"/>
      <c r="AG38" s="226"/>
      <c r="AH38" s="226"/>
      <c r="AI38" s="227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</row>
    <row r="39" spans="1:48" s="127" customFormat="1" ht="18" customHeight="1" thickBot="1" x14ac:dyDescent="0.35">
      <c r="A39" s="145" t="s">
        <v>34</v>
      </c>
      <c r="B39" s="144" t="s">
        <v>212</v>
      </c>
      <c r="C39" s="222">
        <v>27762</v>
      </c>
      <c r="D39" s="145"/>
      <c r="E39" s="198">
        <v>27762</v>
      </c>
      <c r="F39" s="198">
        <f t="shared" si="0"/>
        <v>27762</v>
      </c>
      <c r="G39" s="198">
        <f t="shared" si="1"/>
        <v>0</v>
      </c>
      <c r="H39" s="225"/>
      <c r="I39" s="226"/>
      <c r="J39" s="226"/>
      <c r="K39" s="226"/>
      <c r="L39" s="226">
        <f>3307</f>
        <v>3307</v>
      </c>
      <c r="M39" s="226">
        <v>5033</v>
      </c>
      <c r="N39" s="226"/>
      <c r="O39" s="226"/>
      <c r="P39" s="226">
        <v>806</v>
      </c>
      <c r="Q39" s="226">
        <v>204</v>
      </c>
      <c r="R39" s="226">
        <f>3380+94+2290</f>
        <v>5764</v>
      </c>
      <c r="S39" s="226">
        <v>2772</v>
      </c>
      <c r="T39" s="226">
        <v>5904</v>
      </c>
      <c r="U39" s="226"/>
      <c r="V39" s="226"/>
      <c r="W39" s="226">
        <v>1400</v>
      </c>
      <c r="X39" s="226">
        <v>2572</v>
      </c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7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</row>
    <row r="40" spans="1:48" s="127" customFormat="1" ht="18" customHeight="1" thickBot="1" x14ac:dyDescent="0.35">
      <c r="A40" s="145" t="s">
        <v>35</v>
      </c>
      <c r="B40" s="144" t="s">
        <v>213</v>
      </c>
      <c r="C40" s="222">
        <v>2676</v>
      </c>
      <c r="D40" s="145" t="s">
        <v>371</v>
      </c>
      <c r="E40" s="198">
        <v>0</v>
      </c>
      <c r="F40" s="198">
        <f t="shared" si="0"/>
        <v>0</v>
      </c>
      <c r="G40" s="198">
        <f t="shared" si="1"/>
        <v>0</v>
      </c>
      <c r="H40" s="225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7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</row>
    <row r="41" spans="1:48" s="127" customFormat="1" ht="18" customHeight="1" thickBot="1" x14ac:dyDescent="0.35">
      <c r="A41" s="145" t="s">
        <v>36</v>
      </c>
      <c r="B41" s="144" t="s">
        <v>214</v>
      </c>
      <c r="C41" s="222">
        <v>8879</v>
      </c>
      <c r="D41" s="145" t="s">
        <v>371</v>
      </c>
      <c r="E41" s="198">
        <v>0</v>
      </c>
      <c r="F41" s="198">
        <f t="shared" si="0"/>
        <v>0</v>
      </c>
      <c r="G41" s="198">
        <f t="shared" si="1"/>
        <v>0</v>
      </c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7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</row>
    <row r="42" spans="1:48" s="127" customFormat="1" ht="18" customHeight="1" thickBot="1" x14ac:dyDescent="0.35">
      <c r="A42" s="145" t="s">
        <v>37</v>
      </c>
      <c r="B42" s="144" t="s">
        <v>215</v>
      </c>
      <c r="C42" s="222">
        <v>23707</v>
      </c>
      <c r="D42" s="145"/>
      <c r="E42" s="198">
        <v>23707</v>
      </c>
      <c r="F42" s="198">
        <f t="shared" si="0"/>
        <v>23707</v>
      </c>
      <c r="G42" s="198">
        <f t="shared" si="1"/>
        <v>0</v>
      </c>
      <c r="H42" s="225"/>
      <c r="I42" s="226"/>
      <c r="J42" s="226"/>
      <c r="K42" s="226"/>
      <c r="L42" s="226"/>
      <c r="M42" s="226"/>
      <c r="N42" s="226"/>
      <c r="O42" s="226">
        <v>2946</v>
      </c>
      <c r="P42" s="226"/>
      <c r="Q42" s="226"/>
      <c r="R42" s="226">
        <v>4045</v>
      </c>
      <c r="S42" s="226"/>
      <c r="T42" s="226"/>
      <c r="U42" s="226">
        <v>13412</v>
      </c>
      <c r="V42" s="226"/>
      <c r="W42" s="226"/>
      <c r="X42" s="226"/>
      <c r="Y42" s="226"/>
      <c r="Z42" s="226"/>
      <c r="AA42" s="226"/>
      <c r="AB42" s="226">
        <v>3304</v>
      </c>
      <c r="AC42" s="226"/>
      <c r="AD42" s="226"/>
      <c r="AE42" s="226"/>
      <c r="AF42" s="226"/>
      <c r="AG42" s="226"/>
      <c r="AH42" s="226"/>
      <c r="AI42" s="227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</row>
    <row r="43" spans="1:48" s="127" customFormat="1" ht="18" customHeight="1" thickBot="1" x14ac:dyDescent="0.35">
      <c r="A43" s="145" t="s">
        <v>38</v>
      </c>
      <c r="B43" s="144" t="s">
        <v>216</v>
      </c>
      <c r="C43" s="222">
        <v>45807</v>
      </c>
      <c r="D43" s="145"/>
      <c r="E43" s="198">
        <v>45807</v>
      </c>
      <c r="F43" s="198">
        <f t="shared" si="0"/>
        <v>45807.000000000007</v>
      </c>
      <c r="G43" s="198">
        <f t="shared" si="1"/>
        <v>0</v>
      </c>
      <c r="H43" s="225"/>
      <c r="I43" s="226"/>
      <c r="J43" s="226"/>
      <c r="K43" s="226"/>
      <c r="L43" s="226"/>
      <c r="M43" s="226">
        <f>1045</f>
        <v>1045</v>
      </c>
      <c r="N43" s="226"/>
      <c r="O43" s="226">
        <v>4099</v>
      </c>
      <c r="P43" s="226">
        <v>1420</v>
      </c>
      <c r="Q43" s="226">
        <v>7200</v>
      </c>
      <c r="R43" s="226">
        <v>3500</v>
      </c>
      <c r="S43" s="226">
        <v>8216</v>
      </c>
      <c r="T43" s="226">
        <v>1240</v>
      </c>
      <c r="U43" s="226"/>
      <c r="V43" s="226">
        <v>16041.27</v>
      </c>
      <c r="W43" s="226"/>
      <c r="X43" s="226"/>
      <c r="Y43" s="226">
        <v>3045.73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7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</row>
    <row r="44" spans="1:48" s="127" customFormat="1" ht="18" customHeight="1" thickBot="1" x14ac:dyDescent="0.35">
      <c r="A44" s="145" t="s">
        <v>39</v>
      </c>
      <c r="B44" s="144" t="s">
        <v>217</v>
      </c>
      <c r="C44" s="222">
        <v>12240</v>
      </c>
      <c r="D44" s="145"/>
      <c r="E44" s="198">
        <v>12240</v>
      </c>
      <c r="F44" s="198">
        <f t="shared" si="0"/>
        <v>12240</v>
      </c>
      <c r="G44" s="198">
        <f t="shared" si="1"/>
        <v>0</v>
      </c>
      <c r="H44" s="225"/>
      <c r="I44" s="226"/>
      <c r="J44" s="226"/>
      <c r="K44" s="226"/>
      <c r="L44" s="226"/>
      <c r="M44" s="226"/>
      <c r="N44" s="226">
        <v>3491</v>
      </c>
      <c r="O44" s="226"/>
      <c r="P44" s="226"/>
      <c r="Q44" s="226"/>
      <c r="R44" s="226"/>
      <c r="S44" s="226">
        <v>8694</v>
      </c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7"/>
      <c r="AJ44" s="306">
        <v>55</v>
      </c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</row>
    <row r="45" spans="1:48" s="127" customFormat="1" ht="18" customHeight="1" thickBot="1" x14ac:dyDescent="0.35">
      <c r="A45" s="145" t="s">
        <v>40</v>
      </c>
      <c r="B45" s="144" t="s">
        <v>218</v>
      </c>
      <c r="C45" s="222">
        <v>19640</v>
      </c>
      <c r="D45" s="145"/>
      <c r="E45" s="198">
        <v>19640</v>
      </c>
      <c r="F45" s="198">
        <f t="shared" si="0"/>
        <v>19640</v>
      </c>
      <c r="G45" s="198">
        <f t="shared" si="1"/>
        <v>0</v>
      </c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>
        <v>18006</v>
      </c>
      <c r="Y45" s="226">
        <v>463</v>
      </c>
      <c r="Z45" s="226"/>
      <c r="AA45" s="226">
        <f>655.89+515.11</f>
        <v>1171</v>
      </c>
      <c r="AB45" s="226"/>
      <c r="AC45" s="226"/>
      <c r="AD45" s="226"/>
      <c r="AE45" s="226"/>
      <c r="AF45" s="226"/>
      <c r="AG45" s="226"/>
      <c r="AH45" s="226"/>
      <c r="AI45" s="227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</row>
    <row r="46" spans="1:48" s="127" customFormat="1" ht="18" customHeight="1" thickBot="1" x14ac:dyDescent="0.35">
      <c r="A46" s="145" t="s">
        <v>41</v>
      </c>
      <c r="B46" s="144" t="s">
        <v>219</v>
      </c>
      <c r="C46" s="222">
        <v>19400</v>
      </c>
      <c r="D46" s="145"/>
      <c r="E46" s="198">
        <v>19400</v>
      </c>
      <c r="F46" s="198">
        <f t="shared" si="0"/>
        <v>19400</v>
      </c>
      <c r="G46" s="198">
        <f t="shared" si="1"/>
        <v>0</v>
      </c>
      <c r="H46" s="225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>
        <f>19400-77</f>
        <v>19323</v>
      </c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>
        <v>77</v>
      </c>
      <c r="AF46" s="226"/>
      <c r="AG46" s="226"/>
      <c r="AH46" s="226"/>
      <c r="AI46" s="227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</row>
    <row r="47" spans="1:48" s="127" customFormat="1" ht="18" customHeight="1" thickBot="1" x14ac:dyDescent="0.35">
      <c r="A47" s="145" t="s">
        <v>42</v>
      </c>
      <c r="B47" s="144" t="s">
        <v>220</v>
      </c>
      <c r="C47" s="222">
        <v>19419</v>
      </c>
      <c r="D47" s="145"/>
      <c r="E47" s="198">
        <v>19419</v>
      </c>
      <c r="F47" s="198">
        <f t="shared" si="0"/>
        <v>19419</v>
      </c>
      <c r="G47" s="198">
        <f t="shared" si="1"/>
        <v>0</v>
      </c>
      <c r="H47" s="225"/>
      <c r="I47" s="226"/>
      <c r="J47" s="226"/>
      <c r="K47" s="226"/>
      <c r="L47" s="226"/>
      <c r="M47" s="226"/>
      <c r="N47" s="226"/>
      <c r="O47" s="226"/>
      <c r="P47" s="226">
        <v>3455</v>
      </c>
      <c r="Q47" s="226"/>
      <c r="R47" s="226"/>
      <c r="S47" s="226"/>
      <c r="T47" s="226">
        <v>1524</v>
      </c>
      <c r="U47" s="226"/>
      <c r="V47" s="226"/>
      <c r="W47" s="226"/>
      <c r="X47" s="226">
        <v>1585</v>
      </c>
      <c r="Y47" s="226"/>
      <c r="Z47" s="226"/>
      <c r="AA47" s="226"/>
      <c r="AB47" s="226"/>
      <c r="AC47" s="226"/>
      <c r="AD47" s="226">
        <v>12046</v>
      </c>
      <c r="AE47" s="226">
        <v>809</v>
      </c>
      <c r="AF47" s="226"/>
      <c r="AG47" s="226"/>
      <c r="AH47" s="226"/>
      <c r="AI47" s="227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</row>
    <row r="48" spans="1:48" s="127" customFormat="1" ht="18" customHeight="1" thickBot="1" x14ac:dyDescent="0.35">
      <c r="A48" s="145" t="s">
        <v>43</v>
      </c>
      <c r="B48" s="144" t="s">
        <v>221</v>
      </c>
      <c r="C48" s="222">
        <v>30958</v>
      </c>
      <c r="D48" s="145"/>
      <c r="E48" s="198">
        <v>30958</v>
      </c>
      <c r="F48" s="198">
        <f t="shared" si="0"/>
        <v>30958</v>
      </c>
      <c r="G48" s="198">
        <f t="shared" si="1"/>
        <v>0</v>
      </c>
      <c r="H48" s="225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>
        <f>8055-530</f>
        <v>7525</v>
      </c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>
        <f>12833+10600</f>
        <v>23433</v>
      </c>
      <c r="AF48" s="226"/>
      <c r="AG48" s="226"/>
      <c r="AH48" s="226"/>
      <c r="AI48" s="227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</row>
    <row r="49" spans="1:48" s="127" customFormat="1" ht="18" customHeight="1" thickBot="1" x14ac:dyDescent="0.35">
      <c r="A49" s="145" t="s">
        <v>44</v>
      </c>
      <c r="B49" s="144" t="s">
        <v>448</v>
      </c>
      <c r="C49" s="222">
        <v>20241</v>
      </c>
      <c r="D49" s="145"/>
      <c r="E49" s="198">
        <v>20241</v>
      </c>
      <c r="F49" s="198">
        <f t="shared" si="0"/>
        <v>20241</v>
      </c>
      <c r="G49" s="198">
        <f t="shared" si="1"/>
        <v>0</v>
      </c>
      <c r="H49" s="225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>
        <v>20241</v>
      </c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7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</row>
    <row r="50" spans="1:48" s="127" customFormat="1" ht="18" customHeight="1" thickBot="1" x14ac:dyDescent="0.35">
      <c r="A50" s="145" t="s">
        <v>45</v>
      </c>
      <c r="B50" s="144" t="s">
        <v>223</v>
      </c>
      <c r="C50" s="222">
        <v>173699</v>
      </c>
      <c r="D50" s="145"/>
      <c r="E50" s="198">
        <v>173699</v>
      </c>
      <c r="F50" s="198">
        <f t="shared" si="0"/>
        <v>173699</v>
      </c>
      <c r="G50" s="198">
        <f t="shared" si="1"/>
        <v>0</v>
      </c>
      <c r="H50" s="225"/>
      <c r="I50" s="226"/>
      <c r="J50" s="226"/>
      <c r="K50" s="226"/>
      <c r="L50" s="226"/>
      <c r="M50" s="226">
        <v>478</v>
      </c>
      <c r="N50" s="226"/>
      <c r="O50" s="226">
        <v>49421</v>
      </c>
      <c r="P50" s="226">
        <v>16468</v>
      </c>
      <c r="Q50" s="226">
        <v>16539</v>
      </c>
      <c r="R50" s="226">
        <v>16471</v>
      </c>
      <c r="S50" s="226">
        <v>16280</v>
      </c>
      <c r="T50" s="226"/>
      <c r="U50" s="226"/>
      <c r="V50" s="226"/>
      <c r="W50" s="226">
        <v>33495</v>
      </c>
      <c r="X50" s="226"/>
      <c r="Y50" s="226"/>
      <c r="Z50" s="226"/>
      <c r="AA50" s="226"/>
      <c r="AB50" s="226">
        <v>24547</v>
      </c>
      <c r="AC50" s="226"/>
      <c r="AD50" s="226"/>
      <c r="AE50" s="226"/>
      <c r="AF50" s="226"/>
      <c r="AG50" s="226"/>
      <c r="AH50" s="226"/>
      <c r="AI50" s="227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</row>
    <row r="51" spans="1:48" s="127" customFormat="1" ht="18" customHeight="1" thickBot="1" x14ac:dyDescent="0.35">
      <c r="A51" s="145" t="s">
        <v>46</v>
      </c>
      <c r="B51" s="144" t="s">
        <v>224</v>
      </c>
      <c r="C51" s="222">
        <v>3422937</v>
      </c>
      <c r="D51" s="145"/>
      <c r="E51" s="198">
        <v>3422937</v>
      </c>
      <c r="F51" s="198">
        <f t="shared" si="0"/>
        <v>3422937</v>
      </c>
      <c r="G51" s="198">
        <f t="shared" si="1"/>
        <v>0</v>
      </c>
      <c r="H51" s="225"/>
      <c r="I51" s="226"/>
      <c r="J51" s="226"/>
      <c r="K51" s="226"/>
      <c r="L51" s="226"/>
      <c r="M51" s="226"/>
      <c r="N51" s="226">
        <v>986031</v>
      </c>
      <c r="O51" s="226"/>
      <c r="P51" s="226"/>
      <c r="Q51" s="226">
        <f>341859+257667+177947</f>
        <v>777473</v>
      </c>
      <c r="R51" s="226">
        <v>513040</v>
      </c>
      <c r="S51" s="226">
        <v>390029</v>
      </c>
      <c r="T51" s="226">
        <v>284785</v>
      </c>
      <c r="U51" s="226"/>
      <c r="V51" s="226"/>
      <c r="W51" s="226"/>
      <c r="X51" s="226">
        <v>226787.8</v>
      </c>
      <c r="Y51" s="226"/>
      <c r="Z51" s="226">
        <v>169456.04</v>
      </c>
      <c r="AA51" s="226">
        <v>75335.16</v>
      </c>
      <c r="AB51" s="226"/>
      <c r="AC51" s="226"/>
      <c r="AD51" s="226"/>
      <c r="AE51" s="226"/>
      <c r="AF51" s="226"/>
      <c r="AG51" s="226"/>
      <c r="AH51" s="226"/>
      <c r="AI51" s="227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</row>
    <row r="52" spans="1:48" s="127" customFormat="1" ht="18" customHeight="1" thickBot="1" x14ac:dyDescent="0.35">
      <c r="A52" s="145" t="s">
        <v>47</v>
      </c>
      <c r="B52" s="144" t="s">
        <v>225</v>
      </c>
      <c r="C52" s="222">
        <v>10558</v>
      </c>
      <c r="D52" s="145"/>
      <c r="E52" s="198">
        <v>10558</v>
      </c>
      <c r="F52" s="198">
        <f t="shared" si="0"/>
        <v>10558</v>
      </c>
      <c r="G52" s="198">
        <f t="shared" si="1"/>
        <v>0</v>
      </c>
      <c r="H52" s="225"/>
      <c r="I52" s="226"/>
      <c r="J52" s="226"/>
      <c r="K52" s="226"/>
      <c r="L52" s="226"/>
      <c r="M52" s="226"/>
      <c r="N52" s="226">
        <v>9088</v>
      </c>
      <c r="O52" s="226"/>
      <c r="P52" s="226"/>
      <c r="Q52" s="226">
        <v>1406</v>
      </c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>
        <v>64</v>
      </c>
      <c r="AE52" s="226"/>
      <c r="AF52" s="226"/>
      <c r="AG52" s="226"/>
      <c r="AH52" s="226"/>
      <c r="AI52" s="227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</row>
    <row r="53" spans="1:48" s="127" customFormat="1" ht="18" customHeight="1" thickBot="1" x14ac:dyDescent="0.35">
      <c r="A53" s="145" t="s">
        <v>48</v>
      </c>
      <c r="B53" s="144" t="s">
        <v>226</v>
      </c>
      <c r="C53" s="222">
        <v>605975</v>
      </c>
      <c r="D53" s="145"/>
      <c r="E53" s="198">
        <v>605975</v>
      </c>
      <c r="F53" s="198">
        <f t="shared" si="0"/>
        <v>605975</v>
      </c>
      <c r="G53" s="198">
        <f t="shared" si="1"/>
        <v>0</v>
      </c>
      <c r="H53" s="225"/>
      <c r="I53" s="226"/>
      <c r="J53" s="226"/>
      <c r="K53" s="226"/>
      <c r="L53" s="226">
        <v>10527</v>
      </c>
      <c r="M53" s="226">
        <v>35289</v>
      </c>
      <c r="N53" s="226">
        <v>39371</v>
      </c>
      <c r="O53" s="226">
        <v>62879</v>
      </c>
      <c r="P53" s="226">
        <v>65178</v>
      </c>
      <c r="Q53" s="226">
        <v>57173</v>
      </c>
      <c r="R53" s="226">
        <v>73766</v>
      </c>
      <c r="S53" s="226">
        <v>80520</v>
      </c>
      <c r="T53" s="226">
        <v>73244</v>
      </c>
      <c r="U53" s="226"/>
      <c r="V53" s="226"/>
      <c r="W53" s="226">
        <f>9260+98768</f>
        <v>108028</v>
      </c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7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</row>
    <row r="54" spans="1:48" s="127" customFormat="1" ht="18" customHeight="1" thickBot="1" x14ac:dyDescent="0.35">
      <c r="A54" s="145" t="s">
        <v>49</v>
      </c>
      <c r="B54" s="144" t="s">
        <v>227</v>
      </c>
      <c r="C54" s="222">
        <v>148570</v>
      </c>
      <c r="D54" s="145"/>
      <c r="E54" s="198">
        <v>148570</v>
      </c>
      <c r="F54" s="198">
        <f t="shared" si="0"/>
        <v>148570</v>
      </c>
      <c r="G54" s="198">
        <f t="shared" si="1"/>
        <v>0</v>
      </c>
      <c r="H54" s="225"/>
      <c r="I54" s="226"/>
      <c r="J54" s="226"/>
      <c r="K54" s="226"/>
      <c r="L54" s="226"/>
      <c r="M54" s="226"/>
      <c r="N54" s="226">
        <v>59348</v>
      </c>
      <c r="O54" s="226">
        <v>286</v>
      </c>
      <c r="P54" s="226"/>
      <c r="Q54" s="226"/>
      <c r="R54" s="226">
        <v>9975</v>
      </c>
      <c r="S54" s="226">
        <v>72112</v>
      </c>
      <c r="T54" s="226"/>
      <c r="U54" s="226"/>
      <c r="V54" s="226">
        <v>6330</v>
      </c>
      <c r="W54" s="226">
        <v>488</v>
      </c>
      <c r="X54" s="226">
        <v>31</v>
      </c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7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</row>
    <row r="55" spans="1:48" s="127" customFormat="1" ht="18" customHeight="1" thickBot="1" x14ac:dyDescent="0.35">
      <c r="A55" s="145" t="s">
        <v>50</v>
      </c>
      <c r="B55" s="144" t="s">
        <v>228</v>
      </c>
      <c r="C55" s="222">
        <v>38572</v>
      </c>
      <c r="D55" s="145"/>
      <c r="E55" s="198">
        <v>38572</v>
      </c>
      <c r="F55" s="198">
        <f t="shared" si="0"/>
        <v>38572</v>
      </c>
      <c r="G55" s="198">
        <f t="shared" si="1"/>
        <v>0</v>
      </c>
      <c r="H55" s="225"/>
      <c r="I55" s="226"/>
      <c r="J55" s="226"/>
      <c r="K55" s="226"/>
      <c r="L55" s="226"/>
      <c r="M55" s="226"/>
      <c r="N55" s="226"/>
      <c r="O55" s="226">
        <v>16699</v>
      </c>
      <c r="P55" s="226"/>
      <c r="Q55" s="226">
        <v>514</v>
      </c>
      <c r="R55" s="226"/>
      <c r="S55" s="226">
        <v>21359</v>
      </c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</row>
    <row r="56" spans="1:48" s="127" customFormat="1" ht="18" customHeight="1" thickBot="1" x14ac:dyDescent="0.35">
      <c r="A56" s="145" t="s">
        <v>51</v>
      </c>
      <c r="B56" s="144" t="s">
        <v>229</v>
      </c>
      <c r="C56" s="222">
        <v>8478</v>
      </c>
      <c r="D56" s="145" t="s">
        <v>371</v>
      </c>
      <c r="E56" s="198">
        <v>0</v>
      </c>
      <c r="F56" s="198">
        <f t="shared" si="0"/>
        <v>0</v>
      </c>
      <c r="G56" s="198">
        <f t="shared" si="1"/>
        <v>0</v>
      </c>
      <c r="H56" s="225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7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</row>
    <row r="57" spans="1:48" s="127" customFormat="1" ht="18" customHeight="1" thickBot="1" x14ac:dyDescent="0.35">
      <c r="A57" s="145" t="s">
        <v>52</v>
      </c>
      <c r="B57" s="144" t="s">
        <v>230</v>
      </c>
      <c r="C57" s="222">
        <v>8622</v>
      </c>
      <c r="D57" s="145"/>
      <c r="E57" s="198">
        <v>8622</v>
      </c>
      <c r="F57" s="198">
        <f t="shared" si="0"/>
        <v>8622</v>
      </c>
      <c r="G57" s="198">
        <f t="shared" si="1"/>
        <v>0</v>
      </c>
      <c r="H57" s="225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>
        <v>8622</v>
      </c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</row>
    <row r="58" spans="1:48" s="127" customFormat="1" ht="18" customHeight="1" thickBot="1" x14ac:dyDescent="0.35">
      <c r="A58" s="145" t="s">
        <v>53</v>
      </c>
      <c r="B58" s="144" t="s">
        <v>231</v>
      </c>
      <c r="C58" s="222">
        <v>5438</v>
      </c>
      <c r="D58" s="145"/>
      <c r="E58" s="198">
        <v>5438</v>
      </c>
      <c r="F58" s="198">
        <f t="shared" si="0"/>
        <v>5438</v>
      </c>
      <c r="G58" s="198">
        <f t="shared" si="1"/>
        <v>0</v>
      </c>
      <c r="H58" s="225"/>
      <c r="I58" s="226"/>
      <c r="J58" s="226"/>
      <c r="K58" s="226"/>
      <c r="L58" s="226"/>
      <c r="M58" s="226"/>
      <c r="N58" s="226">
        <v>2617</v>
      </c>
      <c r="O58" s="226"/>
      <c r="P58" s="226"/>
      <c r="Q58" s="226"/>
      <c r="R58" s="226"/>
      <c r="S58" s="226">
        <v>2644</v>
      </c>
      <c r="T58" s="226"/>
      <c r="U58" s="226"/>
      <c r="V58" s="226"/>
      <c r="W58" s="226"/>
      <c r="X58" s="226"/>
      <c r="Y58" s="226"/>
      <c r="Z58" s="226"/>
      <c r="AA58" s="226"/>
      <c r="AB58" s="226">
        <v>177</v>
      </c>
      <c r="AC58" s="226"/>
      <c r="AD58" s="226"/>
      <c r="AE58" s="226"/>
      <c r="AF58" s="226"/>
      <c r="AG58" s="226"/>
      <c r="AH58" s="226"/>
      <c r="AI58" s="227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</row>
    <row r="59" spans="1:48" s="127" customFormat="1" ht="18" customHeight="1" thickBot="1" x14ac:dyDescent="0.35">
      <c r="A59" s="145" t="s">
        <v>54</v>
      </c>
      <c r="B59" s="144" t="s">
        <v>232</v>
      </c>
      <c r="C59" s="222">
        <v>2556</v>
      </c>
      <c r="D59" s="145" t="s">
        <v>371</v>
      </c>
      <c r="E59" s="198">
        <v>0</v>
      </c>
      <c r="F59" s="198">
        <f t="shared" si="0"/>
        <v>0</v>
      </c>
      <c r="G59" s="198">
        <f t="shared" si="1"/>
        <v>0</v>
      </c>
      <c r="H59" s="225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7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</row>
    <row r="60" spans="1:48" s="127" customFormat="1" ht="18" customHeight="1" thickBot="1" x14ac:dyDescent="0.35">
      <c r="A60" s="145" t="s">
        <v>55</v>
      </c>
      <c r="B60" s="144" t="s">
        <v>233</v>
      </c>
      <c r="C60" s="222">
        <v>17214</v>
      </c>
      <c r="D60" s="145"/>
      <c r="E60" s="198">
        <v>17214</v>
      </c>
      <c r="F60" s="198">
        <f t="shared" si="0"/>
        <v>17214</v>
      </c>
      <c r="G60" s="198">
        <f t="shared" si="1"/>
        <v>0</v>
      </c>
      <c r="H60" s="225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>
        <v>17214</v>
      </c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7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</row>
    <row r="61" spans="1:48" s="127" customFormat="1" ht="18" customHeight="1" thickBot="1" x14ac:dyDescent="0.35">
      <c r="A61" s="145" t="s">
        <v>56</v>
      </c>
      <c r="B61" s="144" t="s">
        <v>234</v>
      </c>
      <c r="C61" s="222">
        <v>621322</v>
      </c>
      <c r="D61" s="145"/>
      <c r="E61" s="198">
        <v>621322</v>
      </c>
      <c r="F61" s="198">
        <f t="shared" si="0"/>
        <v>621322</v>
      </c>
      <c r="G61" s="198">
        <f t="shared" si="1"/>
        <v>0</v>
      </c>
      <c r="H61" s="225"/>
      <c r="I61" s="226"/>
      <c r="J61" s="226"/>
      <c r="K61" s="226"/>
      <c r="L61" s="226"/>
      <c r="M61" s="226"/>
      <c r="N61" s="226"/>
      <c r="O61" s="226"/>
      <c r="P61" s="226">
        <v>29846</v>
      </c>
      <c r="Q61" s="226"/>
      <c r="R61" s="226"/>
      <c r="S61" s="226">
        <v>323747</v>
      </c>
      <c r="T61" s="226">
        <v>65647</v>
      </c>
      <c r="U61" s="226"/>
      <c r="V61" s="226">
        <v>80009.039999999994</v>
      </c>
      <c r="W61" s="226"/>
      <c r="X61" s="226"/>
      <c r="Y61" s="226"/>
      <c r="Z61" s="226"/>
      <c r="AA61" s="226"/>
      <c r="AB61" s="226"/>
      <c r="AC61" s="226"/>
      <c r="AD61" s="226">
        <v>122072.96000000001</v>
      </c>
      <c r="AE61" s="226"/>
      <c r="AF61" s="226"/>
      <c r="AG61" s="226"/>
      <c r="AH61" s="226"/>
      <c r="AI61" s="227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</row>
    <row r="62" spans="1:48" s="127" customFormat="1" ht="18" customHeight="1" thickBot="1" x14ac:dyDescent="0.35">
      <c r="A62" s="145" t="s">
        <v>57</v>
      </c>
      <c r="B62" s="144" t="s">
        <v>235</v>
      </c>
      <c r="C62" s="222">
        <v>275193</v>
      </c>
      <c r="D62" s="145"/>
      <c r="E62" s="198">
        <v>275193</v>
      </c>
      <c r="F62" s="198">
        <f t="shared" si="0"/>
        <v>275193</v>
      </c>
      <c r="G62" s="198">
        <f t="shared" si="1"/>
        <v>0</v>
      </c>
      <c r="H62" s="225"/>
      <c r="I62" s="226"/>
      <c r="J62" s="226"/>
      <c r="K62" s="226"/>
      <c r="L62" s="226"/>
      <c r="M62" s="226">
        <f>4678+54181</f>
        <v>58859</v>
      </c>
      <c r="N62" s="226">
        <v>18255</v>
      </c>
      <c r="O62" s="226">
        <v>20374</v>
      </c>
      <c r="P62" s="226">
        <v>28409</v>
      </c>
      <c r="Q62" s="226"/>
      <c r="R62" s="226">
        <v>38958</v>
      </c>
      <c r="S62" s="226">
        <v>35254</v>
      </c>
      <c r="T62" s="226"/>
      <c r="U62" s="226"/>
      <c r="V62" s="226"/>
      <c r="W62" s="226">
        <v>67863</v>
      </c>
      <c r="X62" s="226">
        <v>7221</v>
      </c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7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</row>
    <row r="63" spans="1:48" s="127" customFormat="1" ht="18" customHeight="1" thickBot="1" x14ac:dyDescent="0.35">
      <c r="A63" s="145" t="s">
        <v>58</v>
      </c>
      <c r="B63" s="144" t="s">
        <v>236</v>
      </c>
      <c r="C63" s="222">
        <v>227931</v>
      </c>
      <c r="D63" s="145"/>
      <c r="E63" s="198">
        <v>227931</v>
      </c>
      <c r="F63" s="198">
        <f t="shared" si="0"/>
        <v>227931</v>
      </c>
      <c r="G63" s="198">
        <f t="shared" si="1"/>
        <v>0</v>
      </c>
      <c r="H63" s="225"/>
      <c r="I63" s="226"/>
      <c r="J63" s="226"/>
      <c r="K63" s="226">
        <v>42586</v>
      </c>
      <c r="L63" s="226"/>
      <c r="M63" s="226">
        <v>11806</v>
      </c>
      <c r="N63" s="226"/>
      <c r="O63" s="226">
        <v>22655</v>
      </c>
      <c r="P63" s="226">
        <v>62128</v>
      </c>
      <c r="Q63" s="226">
        <f>26326+20835</f>
        <v>47161</v>
      </c>
      <c r="R63" s="226">
        <v>19679</v>
      </c>
      <c r="S63" s="226">
        <v>17985</v>
      </c>
      <c r="T63" s="226"/>
      <c r="U63" s="226"/>
      <c r="V63" s="226"/>
      <c r="W63" s="226">
        <v>3931</v>
      </c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7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</row>
    <row r="64" spans="1:48" s="127" customFormat="1" ht="18" customHeight="1" thickBot="1" x14ac:dyDescent="0.35">
      <c r="A64" s="145" t="s">
        <v>59</v>
      </c>
      <c r="B64" s="144" t="s">
        <v>237</v>
      </c>
      <c r="C64" s="222">
        <v>1103869</v>
      </c>
      <c r="D64" s="145"/>
      <c r="E64" s="198">
        <v>1103869</v>
      </c>
      <c r="F64" s="198">
        <f t="shared" si="0"/>
        <v>1103869</v>
      </c>
      <c r="G64" s="198">
        <f t="shared" si="1"/>
        <v>0</v>
      </c>
      <c r="H64" s="225"/>
      <c r="I64" s="226"/>
      <c r="J64" s="226"/>
      <c r="K64" s="226">
        <v>44511</v>
      </c>
      <c r="L64" s="226">
        <v>107024</v>
      </c>
      <c r="M64" s="226">
        <v>60234</v>
      </c>
      <c r="N64" s="226">
        <v>36258</v>
      </c>
      <c r="O64" s="226">
        <v>119654</v>
      </c>
      <c r="P64" s="226">
        <v>64902</v>
      </c>
      <c r="Q64" s="226"/>
      <c r="R64" s="226">
        <f>70405+64617</f>
        <v>135022</v>
      </c>
      <c r="S64" s="226">
        <v>77919</v>
      </c>
      <c r="T64" s="226">
        <v>103864</v>
      </c>
      <c r="U64" s="226"/>
      <c r="V64" s="226">
        <v>69011.7</v>
      </c>
      <c r="W64" s="226"/>
      <c r="X64" s="226"/>
      <c r="Y64" s="226"/>
      <c r="Z64" s="226">
        <f>185911.36+99557.94</f>
        <v>285469.3</v>
      </c>
      <c r="AA64" s="226"/>
      <c r="AB64" s="226"/>
      <c r="AC64" s="226"/>
      <c r="AD64" s="226"/>
      <c r="AE64" s="226"/>
      <c r="AF64" s="226"/>
      <c r="AG64" s="226"/>
      <c r="AH64" s="226"/>
      <c r="AI64" s="227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</row>
    <row r="65" spans="1:48" s="127" customFormat="1" ht="18" customHeight="1" thickBot="1" x14ac:dyDescent="0.35">
      <c r="A65" s="145" t="s">
        <v>60</v>
      </c>
      <c r="B65" s="144" t="s">
        <v>238</v>
      </c>
      <c r="C65" s="222">
        <v>73469</v>
      </c>
      <c r="D65" s="145"/>
      <c r="E65" s="198">
        <v>73469</v>
      </c>
      <c r="F65" s="198">
        <f t="shared" si="0"/>
        <v>73469</v>
      </c>
      <c r="G65" s="198">
        <f t="shared" si="1"/>
        <v>0</v>
      </c>
      <c r="H65" s="225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>
        <v>12936</v>
      </c>
      <c r="W65" s="226"/>
      <c r="X65" s="226"/>
      <c r="Y65" s="226"/>
      <c r="Z65" s="226"/>
      <c r="AA65" s="226"/>
      <c r="AB65" s="226"/>
      <c r="AC65" s="226"/>
      <c r="AD65" s="226"/>
      <c r="AE65" s="226">
        <v>45708</v>
      </c>
      <c r="AF65" s="226"/>
      <c r="AG65" s="226"/>
      <c r="AH65" s="226"/>
      <c r="AI65" s="227">
        <v>3799.53</v>
      </c>
      <c r="AJ65" s="228"/>
      <c r="AK65" s="228"/>
      <c r="AL65" s="228"/>
      <c r="AM65" s="228"/>
      <c r="AN65" s="228"/>
      <c r="AO65" s="306">
        <v>11025.47</v>
      </c>
      <c r="AP65" s="228"/>
      <c r="AQ65" s="228"/>
      <c r="AR65" s="228"/>
      <c r="AS65" s="228"/>
      <c r="AT65" s="228"/>
      <c r="AU65" s="228"/>
      <c r="AV65" s="228"/>
    </row>
    <row r="66" spans="1:48" s="127" customFormat="1" ht="18" customHeight="1" thickBot="1" x14ac:dyDescent="0.35">
      <c r="A66" s="145" t="s">
        <v>61</v>
      </c>
      <c r="B66" s="144" t="s">
        <v>239</v>
      </c>
      <c r="C66" s="222">
        <v>30874</v>
      </c>
      <c r="D66" s="145"/>
      <c r="E66" s="198">
        <v>30874</v>
      </c>
      <c r="F66" s="198">
        <f t="shared" si="0"/>
        <v>30874</v>
      </c>
      <c r="G66" s="198">
        <f t="shared" si="1"/>
        <v>0</v>
      </c>
      <c r="H66" s="225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>
        <v>17338</v>
      </c>
      <c r="AF66" s="226"/>
      <c r="AG66" s="226"/>
      <c r="AH66" s="226"/>
      <c r="AI66" s="227"/>
      <c r="AJ66" s="228"/>
      <c r="AK66" s="228"/>
      <c r="AL66" s="228"/>
      <c r="AM66" s="228"/>
      <c r="AN66" s="228"/>
      <c r="AO66" s="228"/>
      <c r="AP66" s="306">
        <v>13536</v>
      </c>
      <c r="AQ66" s="228"/>
      <c r="AR66" s="228"/>
      <c r="AS66" s="228"/>
      <c r="AT66" s="228"/>
      <c r="AU66" s="228"/>
      <c r="AV66" s="228"/>
    </row>
    <row r="67" spans="1:48" s="127" customFormat="1" ht="18" customHeight="1" thickBot="1" x14ac:dyDescent="0.35">
      <c r="A67" s="145" t="s">
        <v>62</v>
      </c>
      <c r="B67" s="144" t="s">
        <v>240</v>
      </c>
      <c r="C67" s="222">
        <v>290452</v>
      </c>
      <c r="D67" s="145"/>
      <c r="E67" s="198">
        <v>290452</v>
      </c>
      <c r="F67" s="198">
        <f t="shared" si="0"/>
        <v>290452.00000000006</v>
      </c>
      <c r="G67" s="198">
        <f t="shared" si="1"/>
        <v>0</v>
      </c>
      <c r="H67" s="225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>
        <f>13807-13443</f>
        <v>364</v>
      </c>
      <c r="T67" s="226">
        <v>165556</v>
      </c>
      <c r="U67" s="226">
        <v>36547</v>
      </c>
      <c r="V67" s="226">
        <v>10846</v>
      </c>
      <c r="W67" s="226"/>
      <c r="X67" s="226"/>
      <c r="Y67" s="226"/>
      <c r="Z67" s="226"/>
      <c r="AA67" s="226">
        <v>59997.71</v>
      </c>
      <c r="AB67" s="226"/>
      <c r="AC67" s="226"/>
      <c r="AD67" s="226">
        <v>4027.03</v>
      </c>
      <c r="AE67" s="226"/>
      <c r="AF67" s="226">
        <v>13114.26</v>
      </c>
      <c r="AG67" s="226"/>
      <c r="AH67" s="226"/>
      <c r="AI67" s="227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</row>
    <row r="68" spans="1:48" s="127" customFormat="1" ht="18" customHeight="1" thickBot="1" x14ac:dyDescent="0.35">
      <c r="A68" s="145" t="s">
        <v>63</v>
      </c>
      <c r="B68" s="144" t="s">
        <v>241</v>
      </c>
      <c r="C68" s="222">
        <v>32737</v>
      </c>
      <c r="D68" s="145"/>
      <c r="E68" s="198">
        <v>32737</v>
      </c>
      <c r="F68" s="198">
        <f t="shared" si="0"/>
        <v>32737</v>
      </c>
      <c r="G68" s="198">
        <f t="shared" si="1"/>
        <v>0</v>
      </c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>
        <v>23599</v>
      </c>
      <c r="S68" s="226">
        <v>9138</v>
      </c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7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</row>
    <row r="69" spans="1:48" s="127" customFormat="1" ht="18" customHeight="1" thickBot="1" x14ac:dyDescent="0.35">
      <c r="A69" s="145" t="s">
        <v>64</v>
      </c>
      <c r="B69" s="144" t="s">
        <v>242</v>
      </c>
      <c r="C69" s="222">
        <v>15766</v>
      </c>
      <c r="D69" s="145"/>
      <c r="E69" s="198">
        <v>15766</v>
      </c>
      <c r="F69" s="198">
        <f t="shared" si="0"/>
        <v>15766</v>
      </c>
      <c r="G69" s="198">
        <f t="shared" si="1"/>
        <v>0</v>
      </c>
      <c r="H69" s="225"/>
      <c r="I69" s="226"/>
      <c r="J69" s="226"/>
      <c r="K69" s="226"/>
      <c r="L69" s="226"/>
      <c r="M69" s="226"/>
      <c r="N69" s="226"/>
      <c r="O69" s="226">
        <v>8337</v>
      </c>
      <c r="P69" s="226"/>
      <c r="Q69" s="226"/>
      <c r="R69" s="226">
        <v>7429</v>
      </c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7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</row>
    <row r="70" spans="1:48" s="127" customFormat="1" ht="18" customHeight="1" thickBot="1" x14ac:dyDescent="0.35">
      <c r="A70" s="145" t="s">
        <v>65</v>
      </c>
      <c r="B70" s="144" t="s">
        <v>243</v>
      </c>
      <c r="C70" s="222">
        <v>10755</v>
      </c>
      <c r="D70" s="145"/>
      <c r="E70" s="198">
        <v>10755</v>
      </c>
      <c r="F70" s="198">
        <f t="shared" si="0"/>
        <v>10755</v>
      </c>
      <c r="G70" s="198">
        <f t="shared" si="1"/>
        <v>0</v>
      </c>
      <c r="H70" s="225"/>
      <c r="I70" s="226"/>
      <c r="J70" s="226"/>
      <c r="K70" s="226"/>
      <c r="L70" s="226"/>
      <c r="M70" s="226"/>
      <c r="N70" s="228"/>
      <c r="O70" s="226"/>
      <c r="P70" s="226">
        <v>5586</v>
      </c>
      <c r="Q70" s="226"/>
      <c r="R70" s="226"/>
      <c r="S70" s="226">
        <v>5169</v>
      </c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7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</row>
    <row r="71" spans="1:48" s="127" customFormat="1" ht="18" customHeight="1" thickBot="1" x14ac:dyDescent="0.35">
      <c r="A71" s="145" t="s">
        <v>66</v>
      </c>
      <c r="B71" s="144" t="s">
        <v>244</v>
      </c>
      <c r="C71" s="222">
        <v>103626</v>
      </c>
      <c r="D71" s="145"/>
      <c r="E71" s="198">
        <v>103626</v>
      </c>
      <c r="F71" s="198">
        <f t="shared" si="0"/>
        <v>103626</v>
      </c>
      <c r="G71" s="198">
        <f t="shared" si="1"/>
        <v>0</v>
      </c>
      <c r="H71" s="225"/>
      <c r="I71" s="226"/>
      <c r="J71" s="226"/>
      <c r="K71" s="226"/>
      <c r="L71" s="226"/>
      <c r="M71" s="226"/>
      <c r="N71" s="226">
        <v>21645</v>
      </c>
      <c r="O71" s="226">
        <v>5418</v>
      </c>
      <c r="P71" s="226">
        <v>8805</v>
      </c>
      <c r="Q71" s="226">
        <v>8762</v>
      </c>
      <c r="R71" s="226">
        <v>4566</v>
      </c>
      <c r="S71" s="226">
        <v>11661</v>
      </c>
      <c r="T71" s="226">
        <f>11661+13007</f>
        <v>24668</v>
      </c>
      <c r="U71" s="226">
        <v>-11661</v>
      </c>
      <c r="V71" s="226"/>
      <c r="W71" s="226"/>
      <c r="X71" s="226"/>
      <c r="Y71" s="226"/>
      <c r="Z71" s="226">
        <v>29762</v>
      </c>
      <c r="AA71" s="226"/>
      <c r="AB71" s="226"/>
      <c r="AC71" s="226"/>
      <c r="AD71" s="226"/>
      <c r="AE71" s="226"/>
      <c r="AF71" s="226"/>
      <c r="AG71" s="226"/>
      <c r="AH71" s="226"/>
      <c r="AI71" s="227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</row>
    <row r="72" spans="1:48" s="127" customFormat="1" ht="18" customHeight="1" thickBot="1" x14ac:dyDescent="0.35">
      <c r="A72" s="145" t="s">
        <v>67</v>
      </c>
      <c r="B72" s="144" t="s">
        <v>245</v>
      </c>
      <c r="C72" s="222">
        <v>295799</v>
      </c>
      <c r="D72" s="145"/>
      <c r="E72" s="198">
        <v>295799</v>
      </c>
      <c r="F72" s="198">
        <f t="shared" si="0"/>
        <v>295799</v>
      </c>
      <c r="G72" s="198">
        <f t="shared" si="1"/>
        <v>0</v>
      </c>
      <c r="H72" s="225"/>
      <c r="I72" s="226"/>
      <c r="J72" s="226"/>
      <c r="K72" s="226"/>
      <c r="L72" s="226"/>
      <c r="M72" s="226"/>
      <c r="O72" s="226">
        <v>0</v>
      </c>
      <c r="P72" s="226"/>
      <c r="Q72" s="226"/>
      <c r="R72" s="226">
        <f>21916+21748</f>
        <v>43664</v>
      </c>
      <c r="S72" s="226">
        <v>25754</v>
      </c>
      <c r="T72" s="226"/>
      <c r="U72" s="226"/>
      <c r="V72" s="226">
        <v>51893</v>
      </c>
      <c r="W72" s="226"/>
      <c r="X72" s="226"/>
      <c r="Y72" s="226"/>
      <c r="Z72" s="226">
        <v>76681</v>
      </c>
      <c r="AA72" s="226"/>
      <c r="AB72" s="226"/>
      <c r="AC72" s="226">
        <v>97807</v>
      </c>
      <c r="AD72" s="226"/>
      <c r="AE72" s="226"/>
      <c r="AF72" s="226"/>
      <c r="AG72" s="226"/>
      <c r="AH72" s="226"/>
      <c r="AI72" s="227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</row>
    <row r="73" spans="1:48" s="127" customFormat="1" ht="18" customHeight="1" thickBot="1" x14ac:dyDescent="0.35">
      <c r="A73" s="145" t="s">
        <v>68</v>
      </c>
      <c r="B73" s="144" t="s">
        <v>246</v>
      </c>
      <c r="C73" s="222">
        <v>3059</v>
      </c>
      <c r="D73" s="145"/>
      <c r="E73" s="198">
        <v>3059</v>
      </c>
      <c r="F73" s="198">
        <f t="shared" si="0"/>
        <v>3059</v>
      </c>
      <c r="G73" s="198">
        <f t="shared" si="1"/>
        <v>0</v>
      </c>
      <c r="H73" s="225"/>
      <c r="I73" s="226"/>
      <c r="J73" s="226"/>
      <c r="K73" s="226"/>
      <c r="L73" s="226"/>
      <c r="M73" s="226"/>
      <c r="N73" s="226">
        <v>2390</v>
      </c>
      <c r="O73" s="226"/>
      <c r="P73" s="226"/>
      <c r="Q73" s="226"/>
      <c r="R73" s="226">
        <v>669</v>
      </c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7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</row>
    <row r="74" spans="1:48" s="127" customFormat="1" ht="18" customHeight="1" thickBot="1" x14ac:dyDescent="0.35">
      <c r="A74" s="145" t="s">
        <v>69</v>
      </c>
      <c r="B74" s="144" t="s">
        <v>247</v>
      </c>
      <c r="C74" s="222">
        <v>12347</v>
      </c>
      <c r="D74" s="145"/>
      <c r="E74" s="198">
        <v>12347</v>
      </c>
      <c r="F74" s="198">
        <f t="shared" si="0"/>
        <v>12347</v>
      </c>
      <c r="G74" s="198">
        <f t="shared" si="1"/>
        <v>0</v>
      </c>
      <c r="H74" s="225"/>
      <c r="I74" s="226"/>
      <c r="J74" s="226"/>
      <c r="K74" s="226"/>
      <c r="L74" s="226"/>
      <c r="M74" s="226">
        <v>574</v>
      </c>
      <c r="N74" s="228"/>
      <c r="O74" s="226"/>
      <c r="P74" s="226">
        <v>4860</v>
      </c>
      <c r="Q74" s="226"/>
      <c r="R74" s="226">
        <v>2951</v>
      </c>
      <c r="S74" s="226">
        <v>3962</v>
      </c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7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</row>
    <row r="75" spans="1:48" s="127" customFormat="1" ht="18" customHeight="1" thickBot="1" x14ac:dyDescent="0.35">
      <c r="A75" s="145" t="s">
        <v>70</v>
      </c>
      <c r="B75" s="144" t="s">
        <v>248</v>
      </c>
      <c r="C75" s="222">
        <v>149561</v>
      </c>
      <c r="D75" s="145"/>
      <c r="E75" s="198">
        <v>149561</v>
      </c>
      <c r="F75" s="198">
        <f t="shared" si="0"/>
        <v>149561</v>
      </c>
      <c r="G75" s="198">
        <f t="shared" si="1"/>
        <v>0</v>
      </c>
      <c r="H75" s="225"/>
      <c r="I75" s="226"/>
      <c r="J75" s="226"/>
      <c r="K75" s="226"/>
      <c r="L75" s="226"/>
      <c r="M75" s="226"/>
      <c r="N75" s="226">
        <v>23346</v>
      </c>
      <c r="O75" s="226"/>
      <c r="P75" s="226"/>
      <c r="Q75" s="226"/>
      <c r="R75" s="226"/>
      <c r="S75" s="226">
        <f>29470+24055</f>
        <v>53525</v>
      </c>
      <c r="T75" s="226"/>
      <c r="U75" s="226">
        <v>29783</v>
      </c>
      <c r="V75" s="226"/>
      <c r="W75" s="226"/>
      <c r="X75" s="226"/>
      <c r="Y75" s="226"/>
      <c r="Z75" s="226"/>
      <c r="AA75" s="226"/>
      <c r="AB75" s="226">
        <v>42907</v>
      </c>
      <c r="AC75" s="226"/>
      <c r="AD75" s="226"/>
      <c r="AE75" s="226"/>
      <c r="AF75" s="226"/>
      <c r="AG75" s="226"/>
      <c r="AH75" s="226"/>
      <c r="AI75" s="227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</row>
    <row r="76" spans="1:48" s="127" customFormat="1" ht="18" customHeight="1" thickBot="1" x14ac:dyDescent="0.35">
      <c r="A76" s="145" t="s">
        <v>71</v>
      </c>
      <c r="B76" s="144" t="s">
        <v>249</v>
      </c>
      <c r="C76" s="222">
        <v>55410</v>
      </c>
      <c r="D76" s="145"/>
      <c r="E76" s="198">
        <v>55410</v>
      </c>
      <c r="F76" s="198">
        <f t="shared" si="0"/>
        <v>55410</v>
      </c>
      <c r="G76" s="198">
        <f t="shared" si="1"/>
        <v>0</v>
      </c>
      <c r="H76" s="225"/>
      <c r="I76" s="226"/>
      <c r="J76" s="226"/>
      <c r="K76" s="226"/>
      <c r="L76" s="226"/>
      <c r="M76" s="226"/>
      <c r="N76" s="226">
        <v>33003</v>
      </c>
      <c r="O76" s="226"/>
      <c r="P76" s="226">
        <v>7698</v>
      </c>
      <c r="Q76" s="226"/>
      <c r="R76" s="226"/>
      <c r="S76" s="201">
        <f>6006+7533</f>
        <v>13539</v>
      </c>
      <c r="T76" s="226">
        <v>1170</v>
      </c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7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</row>
    <row r="77" spans="1:48" s="127" customFormat="1" ht="18" customHeight="1" thickBot="1" x14ac:dyDescent="0.35">
      <c r="A77" s="145" t="s">
        <v>72</v>
      </c>
      <c r="B77" s="144" t="s">
        <v>250</v>
      </c>
      <c r="C77" s="222">
        <v>7715</v>
      </c>
      <c r="D77" s="145"/>
      <c r="E77" s="198">
        <v>7715</v>
      </c>
      <c r="F77" s="198">
        <f t="shared" ref="F77:F140" si="2">SUM(H77:AQ77)</f>
        <v>7715</v>
      </c>
      <c r="G77" s="198">
        <f t="shared" ref="G77:G140" si="3">E77-(F77+AU77+AV77)</f>
        <v>0</v>
      </c>
      <c r="H77" s="225"/>
      <c r="I77" s="226"/>
      <c r="J77" s="226"/>
      <c r="K77" s="226"/>
      <c r="L77" s="226"/>
      <c r="M77" s="226"/>
      <c r="N77" s="226"/>
      <c r="O77" s="226"/>
      <c r="P77" s="226"/>
      <c r="Q77" s="226">
        <v>7715</v>
      </c>
      <c r="R77" s="209"/>
      <c r="S77" s="201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7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</row>
    <row r="78" spans="1:48" s="127" customFormat="1" ht="18" customHeight="1" thickBot="1" x14ac:dyDescent="0.35">
      <c r="A78" s="145" t="s">
        <v>73</v>
      </c>
      <c r="B78" s="144" t="s">
        <v>251</v>
      </c>
      <c r="C78" s="222">
        <v>115135</v>
      </c>
      <c r="D78" s="145"/>
      <c r="E78" s="198">
        <v>115135</v>
      </c>
      <c r="F78" s="198">
        <f t="shared" si="2"/>
        <v>115135</v>
      </c>
      <c r="G78" s="198">
        <f t="shared" si="3"/>
        <v>0</v>
      </c>
      <c r="H78" s="225"/>
      <c r="I78" s="226"/>
      <c r="J78" s="226"/>
      <c r="K78" s="226"/>
      <c r="L78" s="226"/>
      <c r="M78" s="226"/>
      <c r="N78" s="226"/>
      <c r="O78" s="226">
        <v>40769</v>
      </c>
      <c r="P78" s="226"/>
      <c r="Q78" s="226"/>
      <c r="R78" s="209"/>
      <c r="S78" s="209">
        <v>46371</v>
      </c>
      <c r="T78" s="226"/>
      <c r="U78" s="226"/>
      <c r="V78" s="226"/>
      <c r="W78" s="226"/>
      <c r="X78" s="226">
        <v>18242</v>
      </c>
      <c r="Y78" s="226"/>
      <c r="Z78" s="226"/>
      <c r="AA78" s="226">
        <v>9753</v>
      </c>
      <c r="AB78" s="226"/>
      <c r="AC78" s="226"/>
      <c r="AD78" s="226"/>
      <c r="AE78" s="226"/>
      <c r="AF78" s="226"/>
      <c r="AG78" s="226"/>
      <c r="AH78" s="226"/>
      <c r="AI78" s="227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</row>
    <row r="79" spans="1:48" s="127" customFormat="1" ht="18" customHeight="1" thickBot="1" x14ac:dyDescent="0.35">
      <c r="A79" s="145" t="s">
        <v>74</v>
      </c>
      <c r="B79" s="144" t="s">
        <v>252</v>
      </c>
      <c r="C79" s="222">
        <v>126887</v>
      </c>
      <c r="D79" s="145"/>
      <c r="E79" s="198">
        <v>126887</v>
      </c>
      <c r="F79" s="198">
        <f t="shared" si="2"/>
        <v>126887</v>
      </c>
      <c r="G79" s="198">
        <f t="shared" si="3"/>
        <v>0</v>
      </c>
      <c r="H79" s="225"/>
      <c r="I79" s="226"/>
      <c r="J79" s="226"/>
      <c r="K79" s="226"/>
      <c r="L79" s="226"/>
      <c r="M79" s="226"/>
      <c r="N79" s="226"/>
      <c r="O79" s="226"/>
      <c r="P79" s="226"/>
      <c r="Q79" s="226"/>
      <c r="R79" s="201">
        <v>75436</v>
      </c>
      <c r="S79" s="209">
        <v>36525</v>
      </c>
      <c r="T79" s="226"/>
      <c r="U79" s="226"/>
      <c r="V79" s="226"/>
      <c r="W79" s="226">
        <v>10370.56</v>
      </c>
      <c r="X79" s="226"/>
      <c r="Y79" s="226"/>
      <c r="Z79" s="226"/>
      <c r="AA79" s="226"/>
      <c r="AB79" s="226"/>
      <c r="AC79" s="226"/>
      <c r="AD79" s="226"/>
      <c r="AE79" s="226">
        <v>4555.4399999999996</v>
      </c>
      <c r="AF79" s="226"/>
      <c r="AG79" s="226"/>
      <c r="AH79" s="226"/>
      <c r="AI79" s="227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</row>
    <row r="80" spans="1:48" s="127" customFormat="1" ht="18" customHeight="1" thickBot="1" x14ac:dyDescent="0.35">
      <c r="A80" s="145" t="s">
        <v>75</v>
      </c>
      <c r="B80" s="144" t="s">
        <v>253</v>
      </c>
      <c r="C80" s="222">
        <v>28328</v>
      </c>
      <c r="D80" s="145"/>
      <c r="E80" s="198">
        <v>28328</v>
      </c>
      <c r="F80" s="198">
        <f t="shared" si="2"/>
        <v>28328</v>
      </c>
      <c r="G80" s="198">
        <f t="shared" si="3"/>
        <v>0</v>
      </c>
      <c r="H80" s="225"/>
      <c r="I80" s="226"/>
      <c r="J80" s="226"/>
      <c r="K80" s="226"/>
      <c r="L80" s="226"/>
      <c r="M80" s="226"/>
      <c r="N80" s="226"/>
      <c r="O80" s="226">
        <v>6327</v>
      </c>
      <c r="P80" s="226"/>
      <c r="Q80" s="226"/>
      <c r="R80" s="209"/>
      <c r="S80" s="209">
        <v>21809</v>
      </c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>
        <v>192</v>
      </c>
      <c r="AI80" s="227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</row>
    <row r="81" spans="1:48" s="127" customFormat="1" ht="18" customHeight="1" thickBot="1" x14ac:dyDescent="0.35">
      <c r="A81" s="145" t="s">
        <v>76</v>
      </c>
      <c r="B81" s="144" t="s">
        <v>254</v>
      </c>
      <c r="C81" s="222">
        <v>6001</v>
      </c>
      <c r="D81" s="145"/>
      <c r="E81" s="198">
        <v>6001</v>
      </c>
      <c r="F81" s="198">
        <f t="shared" si="2"/>
        <v>6001</v>
      </c>
      <c r="G81" s="198">
        <f t="shared" si="3"/>
        <v>0</v>
      </c>
      <c r="H81" s="225"/>
      <c r="I81" s="226"/>
      <c r="J81" s="226"/>
      <c r="K81" s="226"/>
      <c r="L81" s="226"/>
      <c r="M81" s="226"/>
      <c r="N81" s="226"/>
      <c r="O81" s="226">
        <v>20</v>
      </c>
      <c r="P81" s="226"/>
      <c r="Q81" s="226"/>
      <c r="R81" s="209">
        <v>3000</v>
      </c>
      <c r="S81" s="209"/>
      <c r="T81" s="226"/>
      <c r="U81" s="226"/>
      <c r="V81" s="226"/>
      <c r="W81" s="226"/>
      <c r="X81" s="226"/>
      <c r="Y81" s="226"/>
      <c r="Z81" s="226"/>
      <c r="AA81" s="226"/>
      <c r="AB81" s="226">
        <v>2981</v>
      </c>
      <c r="AC81" s="226"/>
      <c r="AD81" s="226"/>
      <c r="AE81" s="226"/>
      <c r="AF81" s="226"/>
      <c r="AG81" s="226"/>
      <c r="AH81" s="226"/>
      <c r="AI81" s="227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</row>
    <row r="82" spans="1:48" s="127" customFormat="1" ht="18" customHeight="1" thickBot="1" x14ac:dyDescent="0.35">
      <c r="A82" s="145" t="s">
        <v>77</v>
      </c>
      <c r="B82" s="144" t="s">
        <v>255</v>
      </c>
      <c r="C82" s="222">
        <v>13820</v>
      </c>
      <c r="D82" s="145"/>
      <c r="E82" s="198">
        <v>13820</v>
      </c>
      <c r="F82" s="198">
        <f t="shared" si="2"/>
        <v>13820</v>
      </c>
      <c r="G82" s="198">
        <f t="shared" si="3"/>
        <v>0</v>
      </c>
      <c r="H82" s="225"/>
      <c r="I82" s="226"/>
      <c r="J82" s="226"/>
      <c r="K82" s="226"/>
      <c r="L82" s="226"/>
      <c r="M82" s="226"/>
      <c r="O82" s="226"/>
      <c r="P82" s="226"/>
      <c r="Q82" s="226"/>
      <c r="R82" s="209"/>
      <c r="S82" s="209">
        <v>13820</v>
      </c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7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</row>
    <row r="83" spans="1:48" s="127" customFormat="1" ht="18" customHeight="1" thickBot="1" x14ac:dyDescent="0.35">
      <c r="A83" s="145" t="s">
        <v>78</v>
      </c>
      <c r="B83" s="144" t="s">
        <v>256</v>
      </c>
      <c r="C83" s="222">
        <v>28142</v>
      </c>
      <c r="D83" s="145"/>
      <c r="E83" s="198">
        <v>28142</v>
      </c>
      <c r="F83" s="198">
        <f t="shared" si="2"/>
        <v>28142</v>
      </c>
      <c r="G83" s="198">
        <f t="shared" si="3"/>
        <v>0</v>
      </c>
      <c r="H83" s="225"/>
      <c r="I83" s="226"/>
      <c r="J83" s="226"/>
      <c r="K83" s="226"/>
      <c r="L83" s="226">
        <v>1070</v>
      </c>
      <c r="M83" s="226"/>
      <c r="N83" s="226">
        <v>2421</v>
      </c>
      <c r="O83" s="226"/>
      <c r="P83" s="226">
        <v>3250</v>
      </c>
      <c r="Q83" s="226"/>
      <c r="R83" s="209"/>
      <c r="S83" s="209">
        <v>21401</v>
      </c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7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</row>
    <row r="84" spans="1:48" s="127" customFormat="1" ht="18" customHeight="1" thickBot="1" x14ac:dyDescent="0.35">
      <c r="A84" s="145" t="s">
        <v>79</v>
      </c>
      <c r="B84" s="144" t="s">
        <v>257</v>
      </c>
      <c r="C84" s="222">
        <v>45307</v>
      </c>
      <c r="D84" s="145"/>
      <c r="E84" s="198">
        <v>45307</v>
      </c>
      <c r="F84" s="198">
        <f t="shared" si="2"/>
        <v>45307</v>
      </c>
      <c r="G84" s="198">
        <f t="shared" si="3"/>
        <v>0</v>
      </c>
      <c r="H84" s="225"/>
      <c r="I84" s="226"/>
      <c r="J84" s="226"/>
      <c r="K84" s="226"/>
      <c r="L84" s="226"/>
      <c r="M84" s="226"/>
      <c r="N84" s="226"/>
      <c r="O84" s="226">
        <v>19207</v>
      </c>
      <c r="P84" s="226"/>
      <c r="Q84" s="226"/>
      <c r="R84" s="209"/>
      <c r="S84" s="209">
        <v>22561</v>
      </c>
      <c r="T84" s="226"/>
      <c r="U84" s="226"/>
      <c r="V84" s="226"/>
      <c r="W84" s="226"/>
      <c r="X84" s="226"/>
      <c r="Y84" s="226"/>
      <c r="Z84" s="226"/>
      <c r="AA84" s="226">
        <v>3539</v>
      </c>
      <c r="AB84" s="226"/>
      <c r="AC84" s="226"/>
      <c r="AD84" s="226"/>
      <c r="AE84" s="226"/>
      <c r="AF84" s="226"/>
      <c r="AG84" s="226"/>
      <c r="AH84" s="226"/>
      <c r="AI84" s="227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</row>
    <row r="85" spans="1:48" s="127" customFormat="1" ht="18" customHeight="1" thickBot="1" x14ac:dyDescent="0.35">
      <c r="A85" s="145" t="s">
        <v>80</v>
      </c>
      <c r="B85" s="144" t="s">
        <v>258</v>
      </c>
      <c r="C85" s="222">
        <v>3495</v>
      </c>
      <c r="D85" s="145"/>
      <c r="E85" s="198">
        <v>3495</v>
      </c>
      <c r="F85" s="198">
        <f t="shared" si="2"/>
        <v>3495</v>
      </c>
      <c r="G85" s="198">
        <f t="shared" si="3"/>
        <v>0</v>
      </c>
      <c r="H85" s="225"/>
      <c r="I85" s="226"/>
      <c r="J85" s="226"/>
      <c r="K85" s="226"/>
      <c r="L85" s="226"/>
      <c r="M85" s="226"/>
      <c r="N85" s="226"/>
      <c r="O85" s="226"/>
      <c r="P85" s="226"/>
      <c r="Q85" s="226"/>
      <c r="R85" s="209">
        <v>3438</v>
      </c>
      <c r="S85" s="209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>
        <v>57</v>
      </c>
      <c r="AE85" s="226"/>
      <c r="AF85" s="226"/>
      <c r="AG85" s="226"/>
      <c r="AH85" s="226"/>
      <c r="AI85" s="227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</row>
    <row r="86" spans="1:48" s="127" customFormat="1" ht="18" customHeight="1" thickBot="1" x14ac:dyDescent="0.35">
      <c r="A86" s="145" t="s">
        <v>81</v>
      </c>
      <c r="B86" s="144" t="s">
        <v>259</v>
      </c>
      <c r="C86" s="222">
        <v>34722</v>
      </c>
      <c r="D86" s="145"/>
      <c r="E86" s="198">
        <v>34722</v>
      </c>
      <c r="F86" s="198">
        <f t="shared" si="2"/>
        <v>34722</v>
      </c>
      <c r="G86" s="198">
        <f t="shared" si="3"/>
        <v>0</v>
      </c>
      <c r="H86" s="225"/>
      <c r="I86" s="226"/>
      <c r="J86" s="226"/>
      <c r="K86" s="226"/>
      <c r="L86" s="226"/>
      <c r="M86" s="226">
        <v>1492</v>
      </c>
      <c r="N86" s="226">
        <v>3819</v>
      </c>
      <c r="O86" s="226">
        <v>6650</v>
      </c>
      <c r="P86" s="226">
        <v>1488</v>
      </c>
      <c r="Q86" s="226">
        <v>1488</v>
      </c>
      <c r="R86" s="209">
        <v>1489</v>
      </c>
      <c r="S86" s="209">
        <v>4679</v>
      </c>
      <c r="T86" s="226">
        <v>1488.48</v>
      </c>
      <c r="U86" s="226">
        <v>12128.52</v>
      </c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7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</row>
    <row r="87" spans="1:48" s="127" customFormat="1" ht="18" customHeight="1" thickBot="1" x14ac:dyDescent="0.35">
      <c r="A87" s="145" t="s">
        <v>82</v>
      </c>
      <c r="B87" s="144" t="s">
        <v>260</v>
      </c>
      <c r="C87" s="222">
        <v>10364</v>
      </c>
      <c r="D87" s="145"/>
      <c r="E87" s="198">
        <v>10364</v>
      </c>
      <c r="F87" s="198">
        <f t="shared" si="2"/>
        <v>10364</v>
      </c>
      <c r="G87" s="198">
        <f t="shared" si="3"/>
        <v>0</v>
      </c>
      <c r="H87" s="225"/>
      <c r="I87" s="226"/>
      <c r="J87" s="226"/>
      <c r="K87" s="226"/>
      <c r="L87" s="226"/>
      <c r="M87" s="226">
        <v>1920</v>
      </c>
      <c r="N87" s="226">
        <v>3093</v>
      </c>
      <c r="O87" s="226">
        <v>1031</v>
      </c>
      <c r="P87" s="226">
        <v>1161</v>
      </c>
      <c r="Q87" s="226">
        <v>967</v>
      </c>
      <c r="R87" s="201">
        <v>1031</v>
      </c>
      <c r="S87" s="201">
        <v>1031</v>
      </c>
      <c r="T87" s="226">
        <v>130</v>
      </c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7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</row>
    <row r="88" spans="1:48" s="127" customFormat="1" ht="18" customHeight="1" thickBot="1" x14ac:dyDescent="0.35">
      <c r="A88" s="145" t="s">
        <v>83</v>
      </c>
      <c r="B88" s="144" t="s">
        <v>261</v>
      </c>
      <c r="C88" s="222">
        <v>6746</v>
      </c>
      <c r="D88" s="145"/>
      <c r="E88" s="198">
        <v>6746</v>
      </c>
      <c r="F88" s="198">
        <f t="shared" si="2"/>
        <v>6746</v>
      </c>
      <c r="G88" s="198">
        <f t="shared" si="3"/>
        <v>0</v>
      </c>
      <c r="H88" s="225"/>
      <c r="I88" s="226"/>
      <c r="J88" s="226"/>
      <c r="K88" s="226"/>
      <c r="L88" s="226"/>
      <c r="M88" s="226"/>
      <c r="N88" s="226">
        <v>5762</v>
      </c>
      <c r="O88" s="226"/>
      <c r="P88" s="226"/>
      <c r="Q88" s="226"/>
      <c r="R88" s="209"/>
      <c r="S88" s="209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7"/>
      <c r="AJ88" s="228"/>
      <c r="AK88" s="306">
        <v>984</v>
      </c>
      <c r="AL88" s="306"/>
      <c r="AM88" s="306"/>
      <c r="AN88" s="306"/>
      <c r="AO88" s="306"/>
      <c r="AP88" s="306"/>
      <c r="AQ88" s="306"/>
      <c r="AR88" s="306"/>
      <c r="AS88" s="306"/>
      <c r="AT88" s="306"/>
      <c r="AU88" s="228"/>
      <c r="AV88" s="228"/>
    </row>
    <row r="89" spans="1:48" s="127" customFormat="1" ht="18" customHeight="1" thickBot="1" x14ac:dyDescent="0.35">
      <c r="A89" s="145" t="s">
        <v>84</v>
      </c>
      <c r="B89" s="144" t="s">
        <v>262</v>
      </c>
      <c r="C89" s="222">
        <v>1389468</v>
      </c>
      <c r="D89" s="145"/>
      <c r="E89" s="198">
        <v>1389468</v>
      </c>
      <c r="F89" s="198">
        <f t="shared" si="2"/>
        <v>1389468</v>
      </c>
      <c r="G89" s="198">
        <f t="shared" si="3"/>
        <v>0</v>
      </c>
      <c r="H89" s="225"/>
      <c r="I89" s="226"/>
      <c r="J89" s="226"/>
      <c r="K89" s="226"/>
      <c r="L89" s="226"/>
      <c r="M89" s="226"/>
      <c r="N89" s="226"/>
      <c r="O89" s="226"/>
      <c r="P89" s="226">
        <v>20131</v>
      </c>
      <c r="Q89" s="226">
        <v>150697</v>
      </c>
      <c r="R89" s="201"/>
      <c r="S89" s="201">
        <v>57487</v>
      </c>
      <c r="T89" s="226">
        <v>134521</v>
      </c>
      <c r="U89" s="226"/>
      <c r="V89" s="226">
        <v>159973.96</v>
      </c>
      <c r="W89" s="226"/>
      <c r="X89" s="226"/>
      <c r="Y89" s="226">
        <v>601994.68999999994</v>
      </c>
      <c r="Z89" s="226"/>
      <c r="AA89" s="226">
        <v>264663.34999999998</v>
      </c>
      <c r="AB89" s="226"/>
      <c r="AC89" s="226"/>
      <c r="AD89" s="226"/>
      <c r="AE89" s="226"/>
      <c r="AF89" s="226"/>
      <c r="AG89" s="226"/>
      <c r="AH89" s="226"/>
      <c r="AI89" s="227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</row>
    <row r="90" spans="1:48" s="127" customFormat="1" ht="18" customHeight="1" thickBot="1" x14ac:dyDescent="0.35">
      <c r="A90" s="145" t="s">
        <v>85</v>
      </c>
      <c r="B90" s="144" t="s">
        <v>263</v>
      </c>
      <c r="C90" s="222">
        <v>5169</v>
      </c>
      <c r="D90" s="145"/>
      <c r="E90" s="198">
        <v>5169</v>
      </c>
      <c r="F90" s="198">
        <f t="shared" si="2"/>
        <v>5169</v>
      </c>
      <c r="G90" s="198">
        <f t="shared" si="3"/>
        <v>0</v>
      </c>
      <c r="H90" s="225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>
        <f>5169-18</f>
        <v>5151</v>
      </c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>
        <v>18</v>
      </c>
      <c r="AF90" s="226"/>
      <c r="AG90" s="226"/>
      <c r="AH90" s="226"/>
      <c r="AI90" s="227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</row>
    <row r="91" spans="1:48" s="127" customFormat="1" ht="18" customHeight="1" thickBot="1" x14ac:dyDescent="0.35">
      <c r="A91" s="145" t="s">
        <v>86</v>
      </c>
      <c r="B91" s="144" t="s">
        <v>264</v>
      </c>
      <c r="C91" s="222">
        <v>2388</v>
      </c>
      <c r="D91" s="145"/>
      <c r="E91" s="198">
        <v>2388</v>
      </c>
      <c r="F91" s="198">
        <f t="shared" si="2"/>
        <v>2388</v>
      </c>
      <c r="G91" s="198">
        <f t="shared" si="3"/>
        <v>0</v>
      </c>
      <c r="H91" s="225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>
        <v>2057.67</v>
      </c>
      <c r="AA91" s="226"/>
      <c r="AB91" s="226"/>
      <c r="AC91" s="226"/>
      <c r="AD91" s="226"/>
      <c r="AE91" s="226">
        <v>330.33</v>
      </c>
      <c r="AF91" s="226"/>
      <c r="AG91" s="226"/>
      <c r="AH91" s="226"/>
      <c r="AI91" s="227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</row>
    <row r="92" spans="1:48" s="127" customFormat="1" ht="18" customHeight="1" thickBot="1" x14ac:dyDescent="0.35">
      <c r="A92" s="145" t="s">
        <v>87</v>
      </c>
      <c r="B92" s="144" t="s">
        <v>265</v>
      </c>
      <c r="C92" s="222">
        <v>4953</v>
      </c>
      <c r="D92" s="145" t="s">
        <v>371</v>
      </c>
      <c r="E92" s="198">
        <v>0</v>
      </c>
      <c r="F92" s="198">
        <f t="shared" si="2"/>
        <v>0</v>
      </c>
      <c r="G92" s="198">
        <f t="shared" si="3"/>
        <v>0</v>
      </c>
      <c r="H92" s="225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7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</row>
    <row r="93" spans="1:48" s="127" customFormat="1" ht="18" customHeight="1" thickBot="1" x14ac:dyDescent="0.35">
      <c r="A93" s="145" t="s">
        <v>88</v>
      </c>
      <c r="B93" s="144" t="s">
        <v>266</v>
      </c>
      <c r="C93" s="222">
        <v>3423</v>
      </c>
      <c r="D93" s="145" t="s">
        <v>371</v>
      </c>
      <c r="E93" s="198">
        <v>0</v>
      </c>
      <c r="F93" s="198">
        <f t="shared" si="2"/>
        <v>0</v>
      </c>
      <c r="G93" s="198">
        <f t="shared" si="3"/>
        <v>0</v>
      </c>
      <c r="H93" s="225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7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</row>
    <row r="94" spans="1:48" s="127" customFormat="1" ht="18" customHeight="1" thickBot="1" x14ac:dyDescent="0.35">
      <c r="A94" s="145" t="s">
        <v>89</v>
      </c>
      <c r="B94" s="144" t="s">
        <v>267</v>
      </c>
      <c r="C94" s="222">
        <v>7686</v>
      </c>
      <c r="D94" s="145" t="s">
        <v>371</v>
      </c>
      <c r="E94" s="198">
        <v>0</v>
      </c>
      <c r="F94" s="198">
        <f t="shared" si="2"/>
        <v>0</v>
      </c>
      <c r="G94" s="198">
        <f t="shared" si="3"/>
        <v>0</v>
      </c>
      <c r="H94" s="225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7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</row>
    <row r="95" spans="1:48" s="127" customFormat="1" ht="18" customHeight="1" thickBot="1" x14ac:dyDescent="0.35">
      <c r="A95" s="145" t="s">
        <v>90</v>
      </c>
      <c r="B95" s="144" t="s">
        <v>268</v>
      </c>
      <c r="C95" s="222">
        <v>3127</v>
      </c>
      <c r="D95" s="145" t="s">
        <v>371</v>
      </c>
      <c r="E95" s="198">
        <v>0</v>
      </c>
      <c r="F95" s="198">
        <f t="shared" si="2"/>
        <v>0</v>
      </c>
      <c r="G95" s="198">
        <f t="shared" si="3"/>
        <v>0</v>
      </c>
      <c r="H95" s="225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7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</row>
    <row r="96" spans="1:48" s="127" customFormat="1" ht="18" customHeight="1" thickBot="1" x14ac:dyDescent="0.35">
      <c r="A96" s="145" t="s">
        <v>91</v>
      </c>
      <c r="B96" s="144" t="s">
        <v>269</v>
      </c>
      <c r="C96" s="222">
        <v>28690</v>
      </c>
      <c r="D96" s="145" t="s">
        <v>371</v>
      </c>
      <c r="E96" s="198">
        <v>0</v>
      </c>
      <c r="F96" s="198">
        <f t="shared" si="2"/>
        <v>0</v>
      </c>
      <c r="G96" s="198">
        <f t="shared" si="3"/>
        <v>0</v>
      </c>
      <c r="H96" s="225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7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</row>
    <row r="97" spans="1:48" s="127" customFormat="1" ht="18" customHeight="1" thickBot="1" x14ac:dyDescent="0.35">
      <c r="A97" s="145" t="s">
        <v>92</v>
      </c>
      <c r="B97" s="144" t="s">
        <v>270</v>
      </c>
      <c r="C97" s="222">
        <v>40415</v>
      </c>
      <c r="D97" s="145"/>
      <c r="E97" s="198">
        <v>40415</v>
      </c>
      <c r="F97" s="198">
        <f t="shared" si="2"/>
        <v>40415</v>
      </c>
      <c r="G97" s="198">
        <f t="shared" si="3"/>
        <v>0</v>
      </c>
      <c r="H97" s="225"/>
      <c r="I97" s="226"/>
      <c r="J97" s="226"/>
      <c r="K97" s="226"/>
      <c r="L97" s="226"/>
      <c r="M97" s="226">
        <v>10929</v>
      </c>
      <c r="N97" s="226"/>
      <c r="O97" s="226">
        <v>4585</v>
      </c>
      <c r="P97" s="226">
        <v>4000</v>
      </c>
      <c r="Q97" s="226">
        <v>3981</v>
      </c>
      <c r="R97" s="226"/>
      <c r="S97" s="226">
        <v>16920</v>
      </c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7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</row>
    <row r="98" spans="1:48" s="127" customFormat="1" ht="18" customHeight="1" thickBot="1" x14ac:dyDescent="0.35">
      <c r="A98" s="145" t="s">
        <v>93</v>
      </c>
      <c r="B98" s="144" t="s">
        <v>271</v>
      </c>
      <c r="C98" s="222">
        <v>117950</v>
      </c>
      <c r="D98" s="145"/>
      <c r="E98" s="198">
        <v>117950</v>
      </c>
      <c r="F98" s="198">
        <f t="shared" si="2"/>
        <v>117950</v>
      </c>
      <c r="G98" s="198">
        <f t="shared" si="3"/>
        <v>0</v>
      </c>
      <c r="H98" s="225"/>
      <c r="I98" s="226"/>
      <c r="J98" s="226"/>
      <c r="K98" s="226"/>
      <c r="L98" s="226"/>
      <c r="M98" s="226"/>
      <c r="N98" s="226"/>
      <c r="O98" s="226">
        <v>36750</v>
      </c>
      <c r="P98" s="226"/>
      <c r="Q98" s="226">
        <v>21083</v>
      </c>
      <c r="R98" s="226">
        <v>6775</v>
      </c>
      <c r="S98" s="226">
        <v>9286</v>
      </c>
      <c r="T98" s="226">
        <v>10148</v>
      </c>
      <c r="U98" s="226">
        <v>11999</v>
      </c>
      <c r="V98" s="226"/>
      <c r="W98" s="226">
        <f>16842.7+5066.3</f>
        <v>21909</v>
      </c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7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</row>
    <row r="99" spans="1:48" s="127" customFormat="1" ht="18" customHeight="1" thickBot="1" x14ac:dyDescent="0.35">
      <c r="A99" s="145" t="s">
        <v>94</v>
      </c>
      <c r="B99" s="144" t="s">
        <v>272</v>
      </c>
      <c r="C99" s="222">
        <v>24317</v>
      </c>
      <c r="D99" s="145"/>
      <c r="E99" s="198">
        <v>24317</v>
      </c>
      <c r="F99" s="198">
        <f t="shared" si="2"/>
        <v>24317</v>
      </c>
      <c r="G99" s="198">
        <f t="shared" si="3"/>
        <v>0</v>
      </c>
      <c r="H99" s="225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>
        <v>24317</v>
      </c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7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</row>
    <row r="100" spans="1:48" s="127" customFormat="1" ht="18" customHeight="1" thickBot="1" x14ac:dyDescent="0.35">
      <c r="A100" s="145" t="s">
        <v>95</v>
      </c>
      <c r="B100" s="144" t="s">
        <v>273</v>
      </c>
      <c r="C100" s="222">
        <v>24463</v>
      </c>
      <c r="D100" s="145"/>
      <c r="E100" s="198">
        <v>24463</v>
      </c>
      <c r="F100" s="198">
        <f t="shared" si="2"/>
        <v>24463</v>
      </c>
      <c r="G100" s="198">
        <f t="shared" si="3"/>
        <v>0</v>
      </c>
      <c r="H100" s="225"/>
      <c r="I100" s="226"/>
      <c r="J100" s="226"/>
      <c r="K100" s="226"/>
      <c r="L100" s="226"/>
      <c r="M100" s="226"/>
      <c r="N100" s="226"/>
      <c r="O100" s="226"/>
      <c r="P100" s="226"/>
      <c r="Q100" s="226">
        <v>7587</v>
      </c>
      <c r="R100" s="226"/>
      <c r="S100" s="226">
        <v>6750</v>
      </c>
      <c r="T100" s="226"/>
      <c r="U100" s="226"/>
      <c r="V100" s="226"/>
      <c r="W100" s="226"/>
      <c r="X100" s="226"/>
      <c r="Y100" s="226">
        <v>2639</v>
      </c>
      <c r="Z100" s="226"/>
      <c r="AA100" s="226"/>
      <c r="AB100" s="226"/>
      <c r="AC100" s="226"/>
      <c r="AD100" s="226"/>
      <c r="AE100" s="226">
        <v>5768</v>
      </c>
      <c r="AF100" s="226"/>
      <c r="AG100" s="226"/>
      <c r="AH100" s="226"/>
      <c r="AI100" s="227"/>
      <c r="AJ100" s="228"/>
      <c r="AK100" s="228"/>
      <c r="AL100" s="228"/>
      <c r="AM100" s="228"/>
      <c r="AN100" s="306">
        <v>1719</v>
      </c>
      <c r="AO100" s="228"/>
      <c r="AP100" s="228"/>
      <c r="AQ100" s="228"/>
      <c r="AR100" s="228"/>
      <c r="AS100" s="228"/>
      <c r="AT100" s="228"/>
      <c r="AU100" s="228"/>
      <c r="AV100" s="228"/>
    </row>
    <row r="101" spans="1:48" s="127" customFormat="1" ht="18" customHeight="1" thickBot="1" x14ac:dyDescent="0.35">
      <c r="A101" s="145" t="s">
        <v>96</v>
      </c>
      <c r="B101" s="144" t="s">
        <v>274</v>
      </c>
      <c r="C101" s="222">
        <v>517336</v>
      </c>
      <c r="D101" s="145"/>
      <c r="E101" s="198">
        <v>517336</v>
      </c>
      <c r="F101" s="198">
        <f t="shared" si="2"/>
        <v>517336</v>
      </c>
      <c r="G101" s="198">
        <f t="shared" si="3"/>
        <v>0</v>
      </c>
      <c r="H101" s="225"/>
      <c r="I101" s="226"/>
      <c r="J101" s="226"/>
      <c r="K101" s="226"/>
      <c r="L101" s="226"/>
      <c r="M101" s="226"/>
      <c r="N101" s="226"/>
      <c r="O101" s="226">
        <v>50958</v>
      </c>
      <c r="P101" s="226"/>
      <c r="Q101" s="226"/>
      <c r="R101" s="226">
        <v>64438</v>
      </c>
      <c r="S101" s="226">
        <v>68070</v>
      </c>
      <c r="T101" s="226"/>
      <c r="U101" s="226">
        <v>47532</v>
      </c>
      <c r="V101" s="226"/>
      <c r="W101" s="226"/>
      <c r="X101" s="226">
        <v>35476</v>
      </c>
      <c r="Y101" s="226">
        <v>57152.33</v>
      </c>
      <c r="Z101" s="226"/>
      <c r="AA101" s="226">
        <v>112729.78</v>
      </c>
      <c r="AB101" s="226"/>
      <c r="AC101" s="226"/>
      <c r="AD101" s="226">
        <v>80979.89</v>
      </c>
      <c r="AE101" s="226"/>
      <c r="AF101" s="226"/>
      <c r="AG101" s="226"/>
      <c r="AH101" s="226"/>
      <c r="AI101" s="227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</row>
    <row r="102" spans="1:48" s="127" customFormat="1" ht="18" customHeight="1" thickBot="1" x14ac:dyDescent="0.35">
      <c r="A102" s="145" t="s">
        <v>97</v>
      </c>
      <c r="B102" s="144" t="s">
        <v>275</v>
      </c>
      <c r="C102" s="222">
        <v>338913</v>
      </c>
      <c r="D102" s="145"/>
      <c r="E102" s="198">
        <v>338913</v>
      </c>
      <c r="F102" s="198">
        <f t="shared" si="2"/>
        <v>338913</v>
      </c>
      <c r="G102" s="198">
        <f t="shared" si="3"/>
        <v>0</v>
      </c>
      <c r="H102" s="225"/>
      <c r="I102" s="226"/>
      <c r="J102" s="226"/>
      <c r="K102" s="226"/>
      <c r="L102" s="226"/>
      <c r="M102" s="226"/>
      <c r="O102" s="226"/>
      <c r="P102" s="226"/>
      <c r="Q102" s="226">
        <v>12839</v>
      </c>
      <c r="R102" s="226">
        <v>27672</v>
      </c>
      <c r="S102" s="226">
        <v>23008</v>
      </c>
      <c r="T102" s="226">
        <v>55460.06</v>
      </c>
      <c r="U102" s="226">
        <v>20448.740000000002</v>
      </c>
      <c r="V102" s="226">
        <v>22086.44</v>
      </c>
      <c r="W102" s="226"/>
      <c r="X102" s="226">
        <v>47882.63</v>
      </c>
      <c r="Y102" s="226">
        <v>31392.84</v>
      </c>
      <c r="Z102" s="226"/>
      <c r="AA102" s="226">
        <v>47917.58</v>
      </c>
      <c r="AB102" s="226">
        <v>24838.51</v>
      </c>
      <c r="AC102" s="226">
        <v>25367.200000000001</v>
      </c>
      <c r="AD102" s="226"/>
      <c r="AE102" s="226"/>
      <c r="AF102" s="226"/>
      <c r="AG102" s="226"/>
      <c r="AH102" s="226"/>
      <c r="AI102" s="227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</row>
    <row r="103" spans="1:48" s="127" customFormat="1" ht="18" customHeight="1" thickBot="1" x14ac:dyDescent="0.35">
      <c r="A103" s="145" t="s">
        <v>98</v>
      </c>
      <c r="B103" s="144" t="s">
        <v>276</v>
      </c>
      <c r="C103" s="222">
        <v>51191</v>
      </c>
      <c r="D103" s="145"/>
      <c r="E103" s="198">
        <v>51191</v>
      </c>
      <c r="F103" s="198">
        <f t="shared" si="2"/>
        <v>51191</v>
      </c>
      <c r="G103" s="198">
        <f t="shared" si="3"/>
        <v>0</v>
      </c>
      <c r="H103" s="225"/>
      <c r="I103" s="226"/>
      <c r="J103" s="226"/>
      <c r="K103" s="226"/>
      <c r="L103" s="226"/>
      <c r="M103" s="226">
        <v>19081</v>
      </c>
      <c r="N103" s="226">
        <v>6079</v>
      </c>
      <c r="O103" s="226">
        <v>2743</v>
      </c>
      <c r="P103" s="226"/>
      <c r="Q103" s="226">
        <v>3160</v>
      </c>
      <c r="R103" s="226"/>
      <c r="S103" s="226">
        <v>2516</v>
      </c>
      <c r="T103" s="226">
        <v>14567.81</v>
      </c>
      <c r="U103" s="226"/>
      <c r="V103" s="226">
        <v>3044.19</v>
      </c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7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</row>
    <row r="104" spans="1:48" s="127" customFormat="1" ht="18" customHeight="1" thickBot="1" x14ac:dyDescent="0.35">
      <c r="A104" s="145" t="s">
        <v>99</v>
      </c>
      <c r="B104" s="144" t="s">
        <v>277</v>
      </c>
      <c r="C104" s="222">
        <v>62066</v>
      </c>
      <c r="D104" s="145"/>
      <c r="E104" s="198">
        <v>62066</v>
      </c>
      <c r="F104" s="198">
        <f t="shared" si="2"/>
        <v>62065.999999999993</v>
      </c>
      <c r="G104" s="198">
        <f t="shared" si="3"/>
        <v>0</v>
      </c>
      <c r="H104" s="225"/>
      <c r="I104" s="226"/>
      <c r="J104" s="226"/>
      <c r="K104" s="226"/>
      <c r="L104" s="226"/>
      <c r="M104" s="226">
        <v>3602</v>
      </c>
      <c r="N104" s="226">
        <v>3905</v>
      </c>
      <c r="O104" s="226">
        <v>5275</v>
      </c>
      <c r="P104" s="226"/>
      <c r="Q104" s="226"/>
      <c r="R104" s="226">
        <v>12301</v>
      </c>
      <c r="S104" s="226"/>
      <c r="T104" s="226">
        <v>2351</v>
      </c>
      <c r="U104" s="226"/>
      <c r="V104" s="226"/>
      <c r="W104" s="226"/>
      <c r="X104" s="226"/>
      <c r="Y104" s="226"/>
      <c r="Z104" s="226"/>
      <c r="AA104" s="226">
        <v>30956.23</v>
      </c>
      <c r="AB104" s="226">
        <v>195.81</v>
      </c>
      <c r="AC104" s="226"/>
      <c r="AD104" s="226">
        <v>3479.96</v>
      </c>
      <c r="AE104" s="226"/>
      <c r="AF104" s="226"/>
      <c r="AG104" s="226"/>
      <c r="AH104" s="226"/>
      <c r="AI104" s="227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</row>
    <row r="105" spans="1:48" s="127" customFormat="1" ht="18" customHeight="1" thickBot="1" x14ac:dyDescent="0.35">
      <c r="A105" s="145" t="s">
        <v>100</v>
      </c>
      <c r="B105" s="144" t="s">
        <v>278</v>
      </c>
      <c r="C105" s="222">
        <v>4674</v>
      </c>
      <c r="D105" s="145"/>
      <c r="E105" s="198">
        <v>4674</v>
      </c>
      <c r="F105" s="198">
        <f t="shared" si="2"/>
        <v>4674</v>
      </c>
      <c r="G105" s="198">
        <f t="shared" si="3"/>
        <v>0</v>
      </c>
      <c r="H105" s="225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>
        <v>4618</v>
      </c>
      <c r="S105" s="209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>
        <v>56</v>
      </c>
      <c r="AD105" s="226"/>
      <c r="AE105" s="226"/>
      <c r="AF105" s="226"/>
      <c r="AG105" s="226"/>
      <c r="AH105" s="226"/>
      <c r="AI105" s="227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</row>
    <row r="106" spans="1:48" s="127" customFormat="1" ht="18" customHeight="1" thickBot="1" x14ac:dyDescent="0.35">
      <c r="A106" s="145" t="s">
        <v>101</v>
      </c>
      <c r="B106" s="144" t="s">
        <v>279</v>
      </c>
      <c r="C106" s="222">
        <v>9656</v>
      </c>
      <c r="D106" s="145"/>
      <c r="E106" s="198">
        <v>9656</v>
      </c>
      <c r="F106" s="198">
        <f t="shared" si="2"/>
        <v>9656</v>
      </c>
      <c r="G106" s="198">
        <f t="shared" si="3"/>
        <v>0</v>
      </c>
      <c r="H106" s="225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>
        <v>5178</v>
      </c>
      <c r="S106" s="226">
        <f>3300+1143</f>
        <v>4443</v>
      </c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>
        <v>35</v>
      </c>
      <c r="AF106" s="226"/>
      <c r="AG106" s="226"/>
      <c r="AH106" s="226"/>
      <c r="AI106" s="227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</row>
    <row r="107" spans="1:48" s="127" customFormat="1" ht="18" customHeight="1" thickBot="1" x14ac:dyDescent="0.35">
      <c r="A107" s="145" t="s">
        <v>102</v>
      </c>
      <c r="B107" s="144" t="s">
        <v>280</v>
      </c>
      <c r="C107" s="222">
        <v>8993</v>
      </c>
      <c r="D107" s="145"/>
      <c r="E107" s="198">
        <v>8993</v>
      </c>
      <c r="F107" s="198">
        <f t="shared" si="2"/>
        <v>8993</v>
      </c>
      <c r="G107" s="198">
        <f t="shared" si="3"/>
        <v>0</v>
      </c>
      <c r="H107" s="225"/>
      <c r="I107" s="226"/>
      <c r="J107" s="226"/>
      <c r="K107" s="226"/>
      <c r="L107" s="226"/>
      <c r="M107" s="226"/>
      <c r="N107" s="226">
        <v>8940</v>
      </c>
      <c r="O107" s="226"/>
      <c r="P107" s="226"/>
      <c r="Q107" s="226"/>
      <c r="R107" s="226">
        <v>53</v>
      </c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7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</row>
    <row r="108" spans="1:48" s="127" customFormat="1" ht="18" customHeight="1" thickBot="1" x14ac:dyDescent="0.35">
      <c r="A108" s="145" t="s">
        <v>103</v>
      </c>
      <c r="B108" s="144" t="s">
        <v>281</v>
      </c>
      <c r="C108" s="222">
        <v>1477</v>
      </c>
      <c r="D108" s="145"/>
      <c r="E108" s="198">
        <v>1477</v>
      </c>
      <c r="F108" s="198">
        <f t="shared" si="2"/>
        <v>1477</v>
      </c>
      <c r="G108" s="198">
        <f t="shared" si="3"/>
        <v>0</v>
      </c>
      <c r="H108" s="225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>
        <v>1476</v>
      </c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>
        <v>1</v>
      </c>
      <c r="AF108" s="226"/>
      <c r="AG108" s="226"/>
      <c r="AH108" s="226"/>
      <c r="AI108" s="227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</row>
    <row r="109" spans="1:48" s="127" customFormat="1" ht="18" customHeight="1" thickBot="1" x14ac:dyDescent="0.35">
      <c r="A109" s="145" t="s">
        <v>104</v>
      </c>
      <c r="B109" s="144" t="s">
        <v>282</v>
      </c>
      <c r="C109" s="222">
        <v>2157</v>
      </c>
      <c r="D109" s="145"/>
      <c r="E109" s="198">
        <v>2157</v>
      </c>
      <c r="F109" s="198">
        <f t="shared" si="2"/>
        <v>2157</v>
      </c>
      <c r="G109" s="198">
        <f t="shared" si="3"/>
        <v>0</v>
      </c>
      <c r="H109" s="225"/>
      <c r="I109" s="226"/>
      <c r="J109" s="226"/>
      <c r="K109" s="226"/>
      <c r="L109" s="226"/>
      <c r="M109" s="226"/>
      <c r="N109" s="226"/>
      <c r="O109" s="226"/>
      <c r="P109" s="226">
        <v>2148</v>
      </c>
      <c r="Q109" s="226"/>
      <c r="R109" s="226"/>
      <c r="S109" s="226"/>
      <c r="T109" s="226"/>
      <c r="U109" s="226"/>
      <c r="V109" s="226"/>
      <c r="W109" s="226">
        <v>9</v>
      </c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7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</row>
    <row r="110" spans="1:48" s="127" customFormat="1" ht="18" customHeight="1" thickBot="1" x14ac:dyDescent="0.35">
      <c r="A110" s="145" t="s">
        <v>105</v>
      </c>
      <c r="B110" s="144" t="s">
        <v>283</v>
      </c>
      <c r="C110" s="222">
        <v>6397</v>
      </c>
      <c r="D110" s="145" t="s">
        <v>371</v>
      </c>
      <c r="E110" s="198">
        <v>0</v>
      </c>
      <c r="F110" s="198">
        <f t="shared" si="2"/>
        <v>0</v>
      </c>
      <c r="G110" s="198">
        <f t="shared" si="3"/>
        <v>0</v>
      </c>
      <c r="H110" s="225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7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</row>
    <row r="111" spans="1:48" s="127" customFormat="1" ht="18" customHeight="1" thickBot="1" x14ac:dyDescent="0.35">
      <c r="A111" s="145" t="s">
        <v>106</v>
      </c>
      <c r="B111" s="144" t="s">
        <v>284</v>
      </c>
      <c r="C111" s="222">
        <v>17222</v>
      </c>
      <c r="D111" s="145" t="s">
        <v>371</v>
      </c>
      <c r="E111" s="198">
        <v>0</v>
      </c>
      <c r="F111" s="198">
        <f t="shared" si="2"/>
        <v>0</v>
      </c>
      <c r="G111" s="198">
        <f t="shared" si="3"/>
        <v>0</v>
      </c>
      <c r="H111" s="225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7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</row>
    <row r="112" spans="1:48" s="127" customFormat="1" ht="18" customHeight="1" thickBot="1" x14ac:dyDescent="0.35">
      <c r="A112" s="145" t="s">
        <v>107</v>
      </c>
      <c r="B112" s="144" t="s">
        <v>285</v>
      </c>
      <c r="C112" s="222">
        <v>2637</v>
      </c>
      <c r="D112" s="145" t="s">
        <v>371</v>
      </c>
      <c r="E112" s="198">
        <v>0</v>
      </c>
      <c r="F112" s="198">
        <f t="shared" si="2"/>
        <v>0</v>
      </c>
      <c r="G112" s="198">
        <f t="shared" si="3"/>
        <v>0</v>
      </c>
      <c r="H112" s="225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7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</row>
    <row r="113" spans="1:48" s="127" customFormat="1" ht="18" customHeight="1" thickBot="1" x14ac:dyDescent="0.35">
      <c r="A113" s="145" t="s">
        <v>108</v>
      </c>
      <c r="B113" s="144" t="s">
        <v>286</v>
      </c>
      <c r="C113" s="222">
        <v>80382</v>
      </c>
      <c r="D113" s="145" t="s">
        <v>372</v>
      </c>
      <c r="E113" s="198">
        <v>0</v>
      </c>
      <c r="F113" s="198">
        <f t="shared" si="2"/>
        <v>0</v>
      </c>
      <c r="G113" s="198">
        <f t="shared" si="3"/>
        <v>0</v>
      </c>
      <c r="H113" s="225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7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</row>
    <row r="114" spans="1:48" s="127" customFormat="1" ht="18" customHeight="1" thickBot="1" x14ac:dyDescent="0.35">
      <c r="A114" s="145" t="s">
        <v>109</v>
      </c>
      <c r="B114" s="144" t="s">
        <v>287</v>
      </c>
      <c r="C114" s="222">
        <v>3549</v>
      </c>
      <c r="D114" s="145" t="s">
        <v>373</v>
      </c>
      <c r="E114" s="198">
        <v>0</v>
      </c>
      <c r="F114" s="198">
        <f t="shared" si="2"/>
        <v>0</v>
      </c>
      <c r="G114" s="198">
        <f t="shared" si="3"/>
        <v>0</v>
      </c>
      <c r="H114" s="225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7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</row>
    <row r="115" spans="1:48" s="127" customFormat="1" ht="18" customHeight="1" thickBot="1" x14ac:dyDescent="0.35">
      <c r="A115" s="145" t="s">
        <v>110</v>
      </c>
      <c r="B115" s="144" t="s">
        <v>288</v>
      </c>
      <c r="C115" s="222">
        <v>4364</v>
      </c>
      <c r="D115" s="145"/>
      <c r="E115" s="198">
        <v>4364</v>
      </c>
      <c r="F115" s="198">
        <f t="shared" si="2"/>
        <v>4364</v>
      </c>
      <c r="G115" s="198">
        <f t="shared" si="3"/>
        <v>0</v>
      </c>
      <c r="H115" s="225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>
        <v>4364</v>
      </c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7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</row>
    <row r="116" spans="1:48" s="127" customFormat="1" ht="18" customHeight="1" thickBot="1" x14ac:dyDescent="0.35">
      <c r="A116" s="145" t="s">
        <v>111</v>
      </c>
      <c r="B116" s="144" t="s">
        <v>289</v>
      </c>
      <c r="C116" s="222">
        <v>2057</v>
      </c>
      <c r="D116" s="145" t="s">
        <v>373</v>
      </c>
      <c r="E116" s="198">
        <v>0</v>
      </c>
      <c r="F116" s="198">
        <f t="shared" si="2"/>
        <v>0</v>
      </c>
      <c r="G116" s="198">
        <f t="shared" si="3"/>
        <v>0</v>
      </c>
      <c r="H116" s="225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7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</row>
    <row r="117" spans="1:48" s="127" customFormat="1" ht="18" customHeight="1" thickBot="1" x14ac:dyDescent="0.35">
      <c r="A117" s="145" t="s">
        <v>112</v>
      </c>
      <c r="B117" s="144" t="s">
        <v>290</v>
      </c>
      <c r="C117" s="222">
        <v>2633</v>
      </c>
      <c r="D117" s="145"/>
      <c r="E117" s="198">
        <v>2633</v>
      </c>
      <c r="F117" s="198">
        <f t="shared" si="2"/>
        <v>2633</v>
      </c>
      <c r="G117" s="198">
        <f t="shared" si="3"/>
        <v>0</v>
      </c>
      <c r="H117" s="225"/>
      <c r="I117" s="226"/>
      <c r="J117" s="226"/>
      <c r="K117" s="226"/>
      <c r="L117" s="226"/>
      <c r="M117" s="226"/>
      <c r="N117" s="226"/>
      <c r="O117" s="226"/>
      <c r="P117" s="226">
        <v>2602</v>
      </c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>
        <v>31</v>
      </c>
      <c r="AB117" s="226"/>
      <c r="AC117" s="226"/>
      <c r="AD117" s="226"/>
      <c r="AE117" s="226"/>
      <c r="AF117" s="226"/>
      <c r="AG117" s="226"/>
      <c r="AH117" s="226"/>
      <c r="AI117" s="227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</row>
    <row r="118" spans="1:48" s="127" customFormat="1" ht="18" customHeight="1" thickBot="1" x14ac:dyDescent="0.35">
      <c r="A118" s="145" t="s">
        <v>113</v>
      </c>
      <c r="B118" s="144" t="s">
        <v>291</v>
      </c>
      <c r="C118" s="222">
        <v>10962</v>
      </c>
      <c r="D118" s="145"/>
      <c r="E118" s="198">
        <v>10962</v>
      </c>
      <c r="F118" s="198">
        <f t="shared" si="2"/>
        <v>10962</v>
      </c>
      <c r="G118" s="198">
        <f t="shared" si="3"/>
        <v>0</v>
      </c>
      <c r="H118" s="225"/>
      <c r="I118" s="226"/>
      <c r="J118" s="226"/>
      <c r="K118" s="226"/>
      <c r="L118" s="226"/>
      <c r="M118" s="226"/>
      <c r="N118" s="226"/>
      <c r="O118" s="226"/>
      <c r="P118" s="226"/>
      <c r="Q118" s="226">
        <v>9313</v>
      </c>
      <c r="R118" s="226"/>
      <c r="S118" s="226">
        <v>1587</v>
      </c>
      <c r="T118" s="226"/>
      <c r="U118" s="226"/>
      <c r="V118" s="226"/>
      <c r="W118" s="226"/>
      <c r="X118" s="226"/>
      <c r="Y118" s="226"/>
      <c r="Z118" s="226">
        <v>62</v>
      </c>
      <c r="AA118" s="226"/>
      <c r="AB118" s="226"/>
      <c r="AC118" s="226"/>
      <c r="AD118" s="226"/>
      <c r="AE118" s="226"/>
      <c r="AF118" s="226"/>
      <c r="AG118" s="226"/>
      <c r="AH118" s="226"/>
      <c r="AI118" s="227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</row>
    <row r="119" spans="1:48" s="127" customFormat="1" ht="18" customHeight="1" thickBot="1" x14ac:dyDescent="0.35">
      <c r="A119" s="145" t="s">
        <v>114</v>
      </c>
      <c r="B119" s="144" t="s">
        <v>292</v>
      </c>
      <c r="C119" s="222">
        <v>675233</v>
      </c>
      <c r="D119" s="145"/>
      <c r="E119" s="198">
        <v>675233</v>
      </c>
      <c r="F119" s="198">
        <f t="shared" si="2"/>
        <v>675233</v>
      </c>
      <c r="G119" s="198">
        <f t="shared" si="3"/>
        <v>0</v>
      </c>
      <c r="H119" s="225"/>
      <c r="I119" s="226"/>
      <c r="J119" s="226"/>
      <c r="K119" s="226"/>
      <c r="L119" s="226"/>
      <c r="M119" s="226"/>
      <c r="N119" s="226"/>
      <c r="O119" s="226">
        <v>53751</v>
      </c>
      <c r="P119" s="226">
        <v>16015</v>
      </c>
      <c r="Q119" s="226">
        <v>102144</v>
      </c>
      <c r="R119" s="226">
        <v>38542</v>
      </c>
      <c r="S119" s="226"/>
      <c r="T119" s="226">
        <v>53359</v>
      </c>
      <c r="U119" s="226"/>
      <c r="V119" s="226"/>
      <c r="W119" s="226"/>
      <c r="X119" s="226"/>
      <c r="Y119" s="226"/>
      <c r="Z119" s="226">
        <f>264676.79+146745.21</f>
        <v>411422</v>
      </c>
      <c r="AA119" s="226"/>
      <c r="AB119" s="226"/>
      <c r="AC119" s="226"/>
      <c r="AD119" s="226"/>
      <c r="AE119" s="226"/>
      <c r="AF119" s="226"/>
      <c r="AG119" s="226"/>
      <c r="AH119" s="226"/>
      <c r="AI119" s="227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</row>
    <row r="120" spans="1:48" s="127" customFormat="1" ht="18" customHeight="1" thickBot="1" x14ac:dyDescent="0.35">
      <c r="A120" s="145" t="s">
        <v>115</v>
      </c>
      <c r="B120" s="144" t="s">
        <v>293</v>
      </c>
      <c r="C120" s="222">
        <v>2455</v>
      </c>
      <c r="D120" s="145"/>
      <c r="E120" s="198">
        <v>2455</v>
      </c>
      <c r="F120" s="198">
        <f t="shared" si="2"/>
        <v>2455</v>
      </c>
      <c r="G120" s="198">
        <f t="shared" si="3"/>
        <v>0</v>
      </c>
      <c r="H120" s="225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>
        <v>2409</v>
      </c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7"/>
      <c r="AJ120" s="228"/>
      <c r="AK120" s="228"/>
      <c r="AL120" s="228"/>
      <c r="AM120" s="228"/>
      <c r="AN120" s="228"/>
      <c r="AO120" s="228"/>
      <c r="AP120" s="306">
        <v>46</v>
      </c>
      <c r="AQ120" s="228"/>
      <c r="AR120" s="228"/>
      <c r="AS120" s="228"/>
      <c r="AT120" s="228"/>
      <c r="AU120" s="228"/>
      <c r="AV120" s="228"/>
    </row>
    <row r="121" spans="1:48" s="127" customFormat="1" ht="18" customHeight="1" thickBot="1" x14ac:dyDescent="0.35">
      <c r="A121" s="145" t="s">
        <v>116</v>
      </c>
      <c r="B121" s="144" t="s">
        <v>294</v>
      </c>
      <c r="C121" s="222">
        <v>65838</v>
      </c>
      <c r="D121" s="145"/>
      <c r="E121" s="198">
        <v>65838</v>
      </c>
      <c r="F121" s="198">
        <f t="shared" si="2"/>
        <v>65838</v>
      </c>
      <c r="G121" s="198">
        <f t="shared" si="3"/>
        <v>0</v>
      </c>
      <c r="H121" s="225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>
        <v>65838</v>
      </c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7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</row>
    <row r="122" spans="1:48" s="127" customFormat="1" ht="18" customHeight="1" thickBot="1" x14ac:dyDescent="0.35">
      <c r="A122" s="145" t="s">
        <v>117</v>
      </c>
      <c r="B122" s="144" t="s">
        <v>295</v>
      </c>
      <c r="C122" s="222">
        <v>147883</v>
      </c>
      <c r="D122" s="145"/>
      <c r="E122" s="198">
        <v>147883</v>
      </c>
      <c r="F122" s="198">
        <f t="shared" si="2"/>
        <v>147883</v>
      </c>
      <c r="G122" s="198">
        <f t="shared" si="3"/>
        <v>0</v>
      </c>
      <c r="H122" s="225"/>
      <c r="I122" s="226"/>
      <c r="J122" s="226"/>
      <c r="K122" s="226"/>
      <c r="L122" s="226"/>
      <c r="M122" s="226">
        <f>3075+4329+19979</f>
        <v>27383</v>
      </c>
      <c r="N122" s="226">
        <v>31919</v>
      </c>
      <c r="O122" s="226">
        <v>6857</v>
      </c>
      <c r="P122" s="226">
        <v>6857</v>
      </c>
      <c r="Q122" s="226">
        <v>10692</v>
      </c>
      <c r="R122" s="226">
        <v>6832</v>
      </c>
      <c r="S122" s="226">
        <f>33024+184</f>
        <v>33208</v>
      </c>
      <c r="T122" s="226">
        <v>6.65</v>
      </c>
      <c r="U122" s="226"/>
      <c r="V122" s="226">
        <v>24128.35</v>
      </c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7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</row>
    <row r="123" spans="1:48" s="127" customFormat="1" ht="18" customHeight="1" thickBot="1" x14ac:dyDescent="0.35">
      <c r="A123" s="145" t="s">
        <v>118</v>
      </c>
      <c r="B123" s="144" t="s">
        <v>296</v>
      </c>
      <c r="C123" s="222">
        <v>15819</v>
      </c>
      <c r="D123" s="145"/>
      <c r="E123" s="198">
        <v>15819</v>
      </c>
      <c r="F123" s="198">
        <f t="shared" si="2"/>
        <v>15819</v>
      </c>
      <c r="G123" s="198">
        <f t="shared" si="3"/>
        <v>0</v>
      </c>
      <c r="H123" s="225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>
        <v>15819</v>
      </c>
      <c r="AE123" s="226"/>
      <c r="AF123" s="226"/>
      <c r="AG123" s="226"/>
      <c r="AH123" s="226"/>
      <c r="AI123" s="227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</row>
    <row r="124" spans="1:48" s="127" customFormat="1" ht="18" customHeight="1" thickBot="1" x14ac:dyDescent="0.35">
      <c r="A124" s="145" t="s">
        <v>119</v>
      </c>
      <c r="B124" s="144" t="s">
        <v>297</v>
      </c>
      <c r="C124" s="222">
        <v>18909</v>
      </c>
      <c r="D124" s="145"/>
      <c r="E124" s="198">
        <v>18909</v>
      </c>
      <c r="F124" s="198">
        <f t="shared" si="2"/>
        <v>18909</v>
      </c>
      <c r="G124" s="198">
        <f t="shared" si="3"/>
        <v>0</v>
      </c>
      <c r="H124" s="225"/>
      <c r="I124" s="226"/>
      <c r="J124" s="226"/>
      <c r="K124" s="226"/>
      <c r="L124" s="226"/>
      <c r="M124" s="226">
        <v>407</v>
      </c>
      <c r="N124" s="226"/>
      <c r="O124" s="226">
        <v>4827</v>
      </c>
      <c r="P124" s="226">
        <v>2364</v>
      </c>
      <c r="Q124" s="226">
        <v>1373</v>
      </c>
      <c r="R124" s="226">
        <v>6510</v>
      </c>
      <c r="S124" s="226">
        <v>3230</v>
      </c>
      <c r="T124" s="226"/>
      <c r="U124" s="226"/>
      <c r="V124" s="226"/>
      <c r="W124" s="226">
        <v>123</v>
      </c>
      <c r="X124" s="226"/>
      <c r="Y124" s="226">
        <v>75</v>
      </c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7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</row>
    <row r="125" spans="1:48" s="127" customFormat="1" ht="18" customHeight="1" thickBot="1" x14ac:dyDescent="0.35">
      <c r="A125" s="145" t="s">
        <v>120</v>
      </c>
      <c r="B125" s="144" t="s">
        <v>298</v>
      </c>
      <c r="C125" s="222">
        <v>220982</v>
      </c>
      <c r="D125" s="145"/>
      <c r="E125" s="198">
        <v>220982</v>
      </c>
      <c r="F125" s="198">
        <f t="shared" si="2"/>
        <v>220982</v>
      </c>
      <c r="G125" s="198">
        <f t="shared" si="3"/>
        <v>0</v>
      </c>
      <c r="H125" s="225"/>
      <c r="I125" s="226"/>
      <c r="J125" s="226"/>
      <c r="K125" s="226"/>
      <c r="L125" s="226"/>
      <c r="M125" s="226"/>
      <c r="N125" s="226">
        <v>52315</v>
      </c>
      <c r="O125" s="226">
        <v>35970</v>
      </c>
      <c r="P125" s="226">
        <v>25357</v>
      </c>
      <c r="Q125" s="226"/>
      <c r="R125" s="226">
        <v>28293</v>
      </c>
      <c r="S125" s="226">
        <v>47707</v>
      </c>
      <c r="T125" s="226">
        <v>31340</v>
      </c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7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</row>
    <row r="126" spans="1:48" s="127" customFormat="1" ht="18" customHeight="1" thickBot="1" x14ac:dyDescent="0.35">
      <c r="A126" s="145" t="s">
        <v>121</v>
      </c>
      <c r="B126" s="144" t="s">
        <v>299</v>
      </c>
      <c r="C126" s="222">
        <v>11430</v>
      </c>
      <c r="D126" s="145"/>
      <c r="E126" s="198">
        <v>11430</v>
      </c>
      <c r="F126" s="198">
        <f t="shared" si="2"/>
        <v>11430</v>
      </c>
      <c r="G126" s="198">
        <f t="shared" si="3"/>
        <v>0</v>
      </c>
      <c r="H126" s="225"/>
      <c r="I126" s="226"/>
      <c r="J126" s="226"/>
      <c r="K126" s="226"/>
      <c r="L126" s="226"/>
      <c r="M126" s="226"/>
      <c r="N126" s="226"/>
      <c r="O126" s="226">
        <v>5660</v>
      </c>
      <c r="P126" s="226"/>
      <c r="Q126" s="226"/>
      <c r="R126" s="226"/>
      <c r="S126" s="226">
        <v>5715</v>
      </c>
      <c r="T126" s="226"/>
      <c r="U126" s="226"/>
      <c r="V126" s="226"/>
      <c r="W126" s="226"/>
      <c r="X126" s="226">
        <v>55</v>
      </c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7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</row>
    <row r="127" spans="1:48" s="127" customFormat="1" ht="18" customHeight="1" thickBot="1" x14ac:dyDescent="0.35">
      <c r="A127" s="145" t="s">
        <v>122</v>
      </c>
      <c r="B127" s="144" t="s">
        <v>300</v>
      </c>
      <c r="C127" s="222">
        <v>35697</v>
      </c>
      <c r="D127" s="145" t="s">
        <v>372</v>
      </c>
      <c r="E127" s="198">
        <v>0</v>
      </c>
      <c r="F127" s="198">
        <f t="shared" si="2"/>
        <v>0</v>
      </c>
      <c r="G127" s="198">
        <f t="shared" si="3"/>
        <v>0</v>
      </c>
      <c r="H127" s="225"/>
      <c r="I127" s="226"/>
      <c r="J127" s="226"/>
      <c r="K127" s="226"/>
      <c r="L127" s="226"/>
      <c r="M127" s="226"/>
      <c r="N127" s="228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7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</row>
    <row r="128" spans="1:48" s="127" customFormat="1" ht="18" customHeight="1" thickBot="1" x14ac:dyDescent="0.35">
      <c r="A128" s="145" t="s">
        <v>123</v>
      </c>
      <c r="B128" s="144" t="s">
        <v>301</v>
      </c>
      <c r="C128" s="222">
        <v>93864</v>
      </c>
      <c r="D128" s="145"/>
      <c r="E128" s="198">
        <v>93864</v>
      </c>
      <c r="F128" s="198">
        <f t="shared" si="2"/>
        <v>93863.999999999985</v>
      </c>
      <c r="G128" s="198">
        <f t="shared" si="3"/>
        <v>0</v>
      </c>
      <c r="H128" s="225"/>
      <c r="I128" s="226"/>
      <c r="J128" s="226"/>
      <c r="K128" s="226"/>
      <c r="L128" s="226">
        <f>1805+6877</f>
        <v>8682</v>
      </c>
      <c r="M128" s="226">
        <v>7948</v>
      </c>
      <c r="N128" s="226">
        <v>7948</v>
      </c>
      <c r="O128" s="226">
        <v>7949</v>
      </c>
      <c r="P128" s="226">
        <v>7948</v>
      </c>
      <c r="Q128" s="226">
        <v>7949</v>
      </c>
      <c r="R128" s="226">
        <v>7948</v>
      </c>
      <c r="S128" s="226">
        <v>7949</v>
      </c>
      <c r="T128" s="226"/>
      <c r="U128" s="226">
        <f>7944.47+7929.76</f>
        <v>15874.23</v>
      </c>
      <c r="V128" s="226">
        <v>7405.23</v>
      </c>
      <c r="W128" s="226">
        <v>6263.54</v>
      </c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7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</row>
    <row r="129" spans="1:48" s="127" customFormat="1" ht="18" customHeight="1" thickBot="1" x14ac:dyDescent="0.35">
      <c r="A129" s="145" t="s">
        <v>124</v>
      </c>
      <c r="B129" s="144" t="s">
        <v>302</v>
      </c>
      <c r="C129" s="222">
        <v>3395</v>
      </c>
      <c r="D129" s="145" t="s">
        <v>372</v>
      </c>
      <c r="E129" s="198">
        <v>0</v>
      </c>
      <c r="F129" s="198">
        <f t="shared" si="2"/>
        <v>0</v>
      </c>
      <c r="G129" s="198">
        <f t="shared" si="3"/>
        <v>0</v>
      </c>
      <c r="H129" s="225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7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</row>
    <row r="130" spans="1:48" s="127" customFormat="1" ht="18" customHeight="1" thickBot="1" x14ac:dyDescent="0.35">
      <c r="A130" s="145" t="s">
        <v>125</v>
      </c>
      <c r="B130" s="144" t="s">
        <v>303</v>
      </c>
      <c r="C130" s="222">
        <v>19403</v>
      </c>
      <c r="D130" s="145" t="s">
        <v>372</v>
      </c>
      <c r="E130" s="198">
        <v>0</v>
      </c>
      <c r="F130" s="198">
        <f t="shared" si="2"/>
        <v>0</v>
      </c>
      <c r="G130" s="198">
        <f t="shared" si="3"/>
        <v>0</v>
      </c>
      <c r="H130" s="225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7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</row>
    <row r="131" spans="1:48" s="127" customFormat="1" ht="18" customHeight="1" thickBot="1" x14ac:dyDescent="0.35">
      <c r="A131" s="145" t="s">
        <v>126</v>
      </c>
      <c r="B131" s="144" t="s">
        <v>304</v>
      </c>
      <c r="C131" s="222">
        <v>74119</v>
      </c>
      <c r="D131" s="145"/>
      <c r="E131" s="198">
        <v>74119</v>
      </c>
      <c r="F131" s="198">
        <f t="shared" si="2"/>
        <v>74119</v>
      </c>
      <c r="G131" s="198">
        <f t="shared" si="3"/>
        <v>0</v>
      </c>
      <c r="H131" s="225"/>
      <c r="I131" s="226"/>
      <c r="J131" s="226"/>
      <c r="K131" s="226"/>
      <c r="L131" s="226"/>
      <c r="M131" s="226"/>
      <c r="N131" s="226"/>
      <c r="O131" s="226"/>
      <c r="P131" s="226"/>
      <c r="Q131" s="226">
        <v>51870</v>
      </c>
      <c r="R131" s="226"/>
      <c r="S131" s="226">
        <v>18536</v>
      </c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>
        <v>3713</v>
      </c>
      <c r="AD131" s="226"/>
      <c r="AE131" s="226"/>
      <c r="AF131" s="226"/>
      <c r="AG131" s="226"/>
      <c r="AH131" s="226"/>
      <c r="AI131" s="227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</row>
    <row r="132" spans="1:48" s="127" customFormat="1" ht="18" customHeight="1" thickBot="1" x14ac:dyDescent="0.35">
      <c r="A132" s="145" t="s">
        <v>127</v>
      </c>
      <c r="B132" s="144" t="s">
        <v>305</v>
      </c>
      <c r="C132" s="222">
        <v>46894</v>
      </c>
      <c r="D132" s="145"/>
      <c r="E132" s="198">
        <v>46894</v>
      </c>
      <c r="F132" s="198">
        <f t="shared" si="2"/>
        <v>46894</v>
      </c>
      <c r="G132" s="198">
        <f t="shared" si="3"/>
        <v>0</v>
      </c>
      <c r="H132" s="225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>
        <v>46894</v>
      </c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7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</row>
    <row r="133" spans="1:48" s="127" customFormat="1" ht="18" customHeight="1" thickBot="1" x14ac:dyDescent="0.35">
      <c r="A133" s="145" t="s">
        <v>128</v>
      </c>
      <c r="B133" s="144" t="s">
        <v>306</v>
      </c>
      <c r="C133" s="222">
        <v>9655</v>
      </c>
      <c r="D133" s="145"/>
      <c r="E133" s="198">
        <v>9655</v>
      </c>
      <c r="F133" s="198">
        <f t="shared" si="2"/>
        <v>9655</v>
      </c>
      <c r="G133" s="198">
        <f t="shared" si="3"/>
        <v>0</v>
      </c>
      <c r="H133" s="225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>
        <f>9974-319</f>
        <v>9655</v>
      </c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7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</row>
    <row r="134" spans="1:48" s="127" customFormat="1" ht="18" customHeight="1" thickBot="1" x14ac:dyDescent="0.35">
      <c r="A134" s="275" t="s">
        <v>129</v>
      </c>
      <c r="B134" s="144" t="s">
        <v>307</v>
      </c>
      <c r="C134" s="222">
        <v>14417</v>
      </c>
      <c r="D134" s="145"/>
      <c r="E134" s="198">
        <v>14417</v>
      </c>
      <c r="F134" s="198">
        <f t="shared" si="2"/>
        <v>14417</v>
      </c>
      <c r="G134" s="198">
        <f t="shared" si="3"/>
        <v>0</v>
      </c>
      <c r="H134" s="225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>
        <f>14417-75</f>
        <v>14342</v>
      </c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>
        <v>75</v>
      </c>
      <c r="AF134" s="226"/>
      <c r="AG134" s="226"/>
      <c r="AH134" s="226"/>
      <c r="AI134" s="227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</row>
    <row r="135" spans="1:48" s="127" customFormat="1" ht="18" customHeight="1" thickBot="1" x14ac:dyDescent="0.35">
      <c r="A135" s="145" t="s">
        <v>130</v>
      </c>
      <c r="B135" s="144" t="s">
        <v>308</v>
      </c>
      <c r="C135" s="222">
        <v>4037</v>
      </c>
      <c r="D135" s="145"/>
      <c r="E135" s="198">
        <v>4037</v>
      </c>
      <c r="F135" s="198">
        <f t="shared" si="2"/>
        <v>4037</v>
      </c>
      <c r="G135" s="198">
        <f t="shared" si="3"/>
        <v>0</v>
      </c>
      <c r="H135" s="225"/>
      <c r="I135" s="226"/>
      <c r="J135" s="226"/>
      <c r="K135" s="226"/>
      <c r="L135" s="226"/>
      <c r="M135" s="226"/>
      <c r="O135" s="226"/>
      <c r="P135" s="226"/>
      <c r="Q135" s="226"/>
      <c r="R135" s="226"/>
      <c r="S135" s="226">
        <v>4037</v>
      </c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7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</row>
    <row r="136" spans="1:48" s="127" customFormat="1" ht="18" customHeight="1" thickBot="1" x14ac:dyDescent="0.35">
      <c r="A136" s="145" t="s">
        <v>131</v>
      </c>
      <c r="B136" s="144" t="s">
        <v>309</v>
      </c>
      <c r="C136" s="222">
        <v>10638</v>
      </c>
      <c r="D136" s="145"/>
      <c r="E136" s="198">
        <v>10638</v>
      </c>
      <c r="F136" s="198">
        <f t="shared" si="2"/>
        <v>10638</v>
      </c>
      <c r="G136" s="198">
        <f t="shared" si="3"/>
        <v>0</v>
      </c>
      <c r="H136" s="225"/>
      <c r="I136" s="226"/>
      <c r="J136" s="226"/>
      <c r="K136" s="226"/>
      <c r="L136" s="226"/>
      <c r="M136" s="226">
        <f>2331+1165</f>
        <v>3496</v>
      </c>
      <c r="N136" s="226">
        <v>1166</v>
      </c>
      <c r="O136" s="226">
        <v>1165</v>
      </c>
      <c r="P136" s="226">
        <v>1166</v>
      </c>
      <c r="Q136" s="226">
        <v>1165</v>
      </c>
      <c r="R136" s="226">
        <v>1166</v>
      </c>
      <c r="S136" s="226">
        <v>1314</v>
      </c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7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</row>
    <row r="137" spans="1:48" s="127" customFormat="1" ht="18" customHeight="1" thickBot="1" x14ac:dyDescent="0.35">
      <c r="A137" s="145" t="s">
        <v>132</v>
      </c>
      <c r="B137" s="144" t="s">
        <v>310</v>
      </c>
      <c r="C137" s="222">
        <v>5281</v>
      </c>
      <c r="D137" s="145"/>
      <c r="E137" s="198">
        <v>5281</v>
      </c>
      <c r="F137" s="198">
        <f t="shared" si="2"/>
        <v>5281</v>
      </c>
      <c r="G137" s="198">
        <f t="shared" si="3"/>
        <v>0</v>
      </c>
      <c r="H137" s="225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>
        <v>5281</v>
      </c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7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</row>
    <row r="138" spans="1:48" s="127" customFormat="1" ht="18" customHeight="1" thickBot="1" x14ac:dyDescent="0.35">
      <c r="A138" s="145" t="s">
        <v>133</v>
      </c>
      <c r="B138" s="144" t="s">
        <v>311</v>
      </c>
      <c r="C138" s="222">
        <v>7304</v>
      </c>
      <c r="D138" s="145"/>
      <c r="E138" s="198">
        <v>7304</v>
      </c>
      <c r="F138" s="198">
        <f t="shared" si="2"/>
        <v>7304</v>
      </c>
      <c r="G138" s="198">
        <f t="shared" si="3"/>
        <v>0</v>
      </c>
      <c r="H138" s="225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>
        <v>7269</v>
      </c>
      <c r="S138" s="226"/>
      <c r="T138" s="226"/>
      <c r="U138" s="226"/>
      <c r="V138" s="226"/>
      <c r="W138" s="226"/>
      <c r="X138" s="226"/>
      <c r="Y138" s="226"/>
      <c r="Z138" s="226"/>
      <c r="AA138" s="226">
        <v>35</v>
      </c>
      <c r="AB138" s="226"/>
      <c r="AC138" s="226"/>
      <c r="AD138" s="226"/>
      <c r="AE138" s="226"/>
      <c r="AF138" s="226"/>
      <c r="AG138" s="226"/>
      <c r="AH138" s="226"/>
      <c r="AI138" s="227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</row>
    <row r="139" spans="1:48" s="127" customFormat="1" ht="18" customHeight="1" thickBot="1" x14ac:dyDescent="0.35">
      <c r="A139" s="145" t="s">
        <v>134</v>
      </c>
      <c r="B139" s="144" t="s">
        <v>312</v>
      </c>
      <c r="C139" s="222">
        <v>26635</v>
      </c>
      <c r="D139" s="145"/>
      <c r="E139" s="198">
        <v>26635</v>
      </c>
      <c r="F139" s="198">
        <f t="shared" si="2"/>
        <v>26635</v>
      </c>
      <c r="G139" s="198">
        <f t="shared" si="3"/>
        <v>0</v>
      </c>
      <c r="H139" s="225"/>
      <c r="I139" s="226"/>
      <c r="J139" s="226"/>
      <c r="K139" s="226"/>
      <c r="L139" s="226"/>
      <c r="M139" s="226"/>
      <c r="N139" s="226"/>
      <c r="O139" s="226">
        <v>19016</v>
      </c>
      <c r="P139" s="226"/>
      <c r="Q139" s="226"/>
      <c r="R139" s="226">
        <v>1414</v>
      </c>
      <c r="S139" s="226">
        <v>5752</v>
      </c>
      <c r="T139" s="226"/>
      <c r="U139" s="226"/>
      <c r="V139" s="226"/>
      <c r="W139" s="226"/>
      <c r="X139" s="226"/>
      <c r="Y139" s="226">
        <v>453</v>
      </c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7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</row>
    <row r="140" spans="1:48" s="127" customFormat="1" ht="18" customHeight="1" thickBot="1" x14ac:dyDescent="0.35">
      <c r="A140" s="145" t="s">
        <v>135</v>
      </c>
      <c r="B140" s="144" t="s">
        <v>313</v>
      </c>
      <c r="C140" s="222">
        <v>21523</v>
      </c>
      <c r="D140" s="145"/>
      <c r="E140" s="198">
        <v>21523</v>
      </c>
      <c r="F140" s="198">
        <f t="shared" si="2"/>
        <v>21523</v>
      </c>
      <c r="G140" s="198">
        <f t="shared" si="3"/>
        <v>0</v>
      </c>
      <c r="H140" s="225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>
        <v>2160</v>
      </c>
      <c r="S140" s="226">
        <v>7923</v>
      </c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>
        <v>11440</v>
      </c>
      <c r="AF140" s="226"/>
      <c r="AG140" s="226"/>
      <c r="AH140" s="226"/>
      <c r="AI140" s="227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</row>
    <row r="141" spans="1:48" s="127" customFormat="1" ht="18" customHeight="1" thickBot="1" x14ac:dyDescent="0.35">
      <c r="A141" s="145" t="s">
        <v>136</v>
      </c>
      <c r="B141" s="144" t="s">
        <v>314</v>
      </c>
      <c r="C141" s="222">
        <v>16513</v>
      </c>
      <c r="D141" s="145"/>
      <c r="E141" s="198">
        <v>16513</v>
      </c>
      <c r="F141" s="198">
        <f t="shared" ref="F141:F194" si="4">SUM(H141:AQ141)</f>
        <v>16513</v>
      </c>
      <c r="G141" s="198">
        <f t="shared" ref="G141:G194" si="5">E141-(F141+AU141+AV141)</f>
        <v>0</v>
      </c>
      <c r="H141" s="225"/>
      <c r="I141" s="226"/>
      <c r="J141" s="226"/>
      <c r="K141" s="226"/>
      <c r="L141" s="226"/>
      <c r="M141" s="226">
        <v>16994</v>
      </c>
      <c r="N141" s="226">
        <v>-590</v>
      </c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>
        <v>109</v>
      </c>
      <c r="AB141" s="226"/>
      <c r="AC141" s="226"/>
      <c r="AD141" s="226"/>
      <c r="AE141" s="226"/>
      <c r="AF141" s="226"/>
      <c r="AG141" s="226"/>
      <c r="AH141" s="226"/>
      <c r="AI141" s="227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</row>
    <row r="142" spans="1:48" s="127" customFormat="1" ht="18" customHeight="1" thickBot="1" x14ac:dyDescent="0.35">
      <c r="A142" s="145" t="s">
        <v>137</v>
      </c>
      <c r="B142" s="144" t="s">
        <v>315</v>
      </c>
      <c r="C142" s="222">
        <v>5985</v>
      </c>
      <c r="D142" s="145" t="s">
        <v>373</v>
      </c>
      <c r="E142" s="198">
        <v>0</v>
      </c>
      <c r="F142" s="198">
        <f t="shared" si="4"/>
        <v>0</v>
      </c>
      <c r="G142" s="198">
        <f t="shared" si="5"/>
        <v>0</v>
      </c>
      <c r="H142" s="225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7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</row>
    <row r="143" spans="1:48" s="127" customFormat="1" ht="18" customHeight="1" thickBot="1" x14ac:dyDescent="0.35">
      <c r="A143" s="145" t="s">
        <v>138</v>
      </c>
      <c r="B143" s="144" t="s">
        <v>316</v>
      </c>
      <c r="C143" s="222">
        <v>18298</v>
      </c>
      <c r="D143" s="145"/>
      <c r="E143" s="198">
        <v>18298</v>
      </c>
      <c r="F143" s="198">
        <f t="shared" si="4"/>
        <v>18209</v>
      </c>
      <c r="G143" s="198">
        <f t="shared" si="5"/>
        <v>89</v>
      </c>
      <c r="H143" s="225"/>
      <c r="I143" s="226"/>
      <c r="J143" s="226"/>
      <c r="K143" s="226"/>
      <c r="L143" s="226"/>
      <c r="M143" s="226"/>
      <c r="N143" s="226"/>
      <c r="O143" s="226">
        <v>0</v>
      </c>
      <c r="P143" s="226"/>
      <c r="Q143" s="226"/>
      <c r="R143" s="226"/>
      <c r="S143" s="226">
        <f>18298-89</f>
        <v>18209</v>
      </c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7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</row>
    <row r="144" spans="1:48" s="127" customFormat="1" ht="18" customHeight="1" thickBot="1" x14ac:dyDescent="0.35">
      <c r="A144" s="145" t="s">
        <v>139</v>
      </c>
      <c r="B144" s="144" t="s">
        <v>317</v>
      </c>
      <c r="C144" s="222">
        <v>8682</v>
      </c>
      <c r="D144" s="145"/>
      <c r="E144" s="198">
        <v>8682</v>
      </c>
      <c r="F144" s="198">
        <f t="shared" si="4"/>
        <v>8682</v>
      </c>
      <c r="G144" s="198">
        <f t="shared" si="5"/>
        <v>0</v>
      </c>
      <c r="H144" s="225"/>
      <c r="I144" s="226"/>
      <c r="J144" s="226"/>
      <c r="K144" s="226"/>
      <c r="L144" s="226"/>
      <c r="M144" s="226"/>
      <c r="O144" s="226"/>
      <c r="P144" s="226"/>
      <c r="Q144" s="226"/>
      <c r="R144" s="226">
        <v>4341</v>
      </c>
      <c r="S144" s="226"/>
      <c r="T144" s="226">
        <v>4341</v>
      </c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7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</row>
    <row r="145" spans="1:48" s="127" customFormat="1" ht="18" customHeight="1" thickBot="1" x14ac:dyDescent="0.35">
      <c r="A145" s="145" t="s">
        <v>140</v>
      </c>
      <c r="B145" s="144" t="s">
        <v>318</v>
      </c>
      <c r="C145" s="222">
        <v>69334</v>
      </c>
      <c r="D145" s="145"/>
      <c r="E145" s="198">
        <v>69334</v>
      </c>
      <c r="F145" s="198">
        <f t="shared" si="4"/>
        <v>69334</v>
      </c>
      <c r="G145" s="198">
        <f t="shared" si="5"/>
        <v>0</v>
      </c>
      <c r="H145" s="225"/>
      <c r="I145" s="226"/>
      <c r="J145" s="226"/>
      <c r="K145" s="226"/>
      <c r="L145" s="226"/>
      <c r="M145" s="226">
        <f>2779+10857</f>
        <v>13636</v>
      </c>
      <c r="N145" s="226">
        <v>5404</v>
      </c>
      <c r="O145" s="226">
        <v>5418</v>
      </c>
      <c r="P145" s="226">
        <v>8463</v>
      </c>
      <c r="Q145" s="226">
        <v>5467</v>
      </c>
      <c r="R145" s="226">
        <f>5460+5536</f>
        <v>10996</v>
      </c>
      <c r="S145" s="226">
        <v>5404</v>
      </c>
      <c r="T145" s="226"/>
      <c r="U145" s="226">
        <v>12398</v>
      </c>
      <c r="V145" s="226"/>
      <c r="W145" s="226"/>
      <c r="X145" s="226"/>
      <c r="Y145" s="226">
        <v>2148</v>
      </c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7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</row>
    <row r="146" spans="1:48" s="127" customFormat="1" ht="18" customHeight="1" thickBot="1" x14ac:dyDescent="0.35">
      <c r="A146" s="145" t="s">
        <v>141</v>
      </c>
      <c r="B146" s="144" t="s">
        <v>319</v>
      </c>
      <c r="C146" s="222">
        <v>7907</v>
      </c>
      <c r="D146" s="145"/>
      <c r="E146" s="198">
        <v>7907</v>
      </c>
      <c r="F146" s="198">
        <f t="shared" si="4"/>
        <v>7907</v>
      </c>
      <c r="G146" s="198">
        <f t="shared" si="5"/>
        <v>0</v>
      </c>
      <c r="H146" s="225"/>
      <c r="I146" s="226"/>
      <c r="J146" s="226"/>
      <c r="K146" s="226"/>
      <c r="L146" s="226"/>
      <c r="M146" s="226"/>
      <c r="N146" s="226"/>
      <c r="O146" s="226"/>
      <c r="P146" s="226"/>
      <c r="Q146" s="226">
        <v>7812</v>
      </c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>
        <v>95</v>
      </c>
      <c r="AB146" s="226"/>
      <c r="AC146" s="226"/>
      <c r="AD146" s="226"/>
      <c r="AE146" s="226"/>
      <c r="AF146" s="226"/>
      <c r="AG146" s="226"/>
      <c r="AH146" s="226"/>
      <c r="AI146" s="227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</row>
    <row r="147" spans="1:48" s="127" customFormat="1" ht="18" customHeight="1" thickBot="1" x14ac:dyDescent="0.35">
      <c r="A147" s="145" t="s">
        <v>142</v>
      </c>
      <c r="B147" s="144" t="s">
        <v>320</v>
      </c>
      <c r="C147" s="222">
        <v>6329</v>
      </c>
      <c r="D147" s="145"/>
      <c r="E147" s="198">
        <v>6329</v>
      </c>
      <c r="F147" s="198">
        <f t="shared" si="4"/>
        <v>6329</v>
      </c>
      <c r="G147" s="198">
        <f t="shared" si="5"/>
        <v>0</v>
      </c>
      <c r="H147" s="225"/>
      <c r="I147" s="226"/>
      <c r="J147" s="226"/>
      <c r="K147" s="226"/>
      <c r="L147" s="226"/>
      <c r="M147" s="226"/>
      <c r="N147" s="226"/>
      <c r="O147" s="226"/>
      <c r="P147" s="226"/>
      <c r="Q147" s="226">
        <v>610</v>
      </c>
      <c r="R147" s="226"/>
      <c r="S147" s="226">
        <v>2244</v>
      </c>
      <c r="T147" s="226"/>
      <c r="U147" s="226"/>
      <c r="V147" s="226">
        <v>2135</v>
      </c>
      <c r="W147" s="226"/>
      <c r="X147" s="226"/>
      <c r="Y147" s="226"/>
      <c r="Z147" s="226"/>
      <c r="AA147" s="226">
        <v>1245.3699999999999</v>
      </c>
      <c r="AB147" s="226"/>
      <c r="AC147" s="226">
        <v>94.63</v>
      </c>
      <c r="AD147" s="226"/>
      <c r="AE147" s="226"/>
      <c r="AF147" s="226"/>
      <c r="AG147" s="226"/>
      <c r="AH147" s="226"/>
      <c r="AI147" s="227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</row>
    <row r="148" spans="1:48" s="127" customFormat="1" ht="18" customHeight="1" thickBot="1" x14ac:dyDescent="0.35">
      <c r="A148" s="145" t="s">
        <v>143</v>
      </c>
      <c r="B148" s="144" t="s">
        <v>321</v>
      </c>
      <c r="C148" s="222">
        <v>881068</v>
      </c>
      <c r="D148" s="145"/>
      <c r="E148" s="198">
        <v>881068</v>
      </c>
      <c r="F148" s="198">
        <f t="shared" si="4"/>
        <v>881068</v>
      </c>
      <c r="G148" s="198">
        <f t="shared" si="5"/>
        <v>0</v>
      </c>
      <c r="H148" s="225"/>
      <c r="I148" s="226"/>
      <c r="J148" s="226"/>
      <c r="K148" s="226"/>
      <c r="L148" s="226"/>
      <c r="M148" s="226"/>
      <c r="O148" s="228"/>
      <c r="P148" s="226"/>
      <c r="Q148" s="226"/>
      <c r="R148" s="226"/>
      <c r="S148" s="226">
        <f>10379+257996</f>
        <v>268375</v>
      </c>
      <c r="T148" s="226"/>
      <c r="U148" s="226"/>
      <c r="V148" s="226"/>
      <c r="W148" s="226"/>
      <c r="X148" s="226">
        <f>335229+175192.09</f>
        <v>510421.08999999997</v>
      </c>
      <c r="Y148" s="226"/>
      <c r="Z148" s="226">
        <v>99937.52</v>
      </c>
      <c r="AA148" s="226">
        <v>2334.39</v>
      </c>
      <c r="AB148" s="226"/>
      <c r="AC148" s="226"/>
      <c r="AD148" s="226"/>
      <c r="AE148" s="226"/>
      <c r="AF148" s="226"/>
      <c r="AG148" s="226"/>
      <c r="AH148" s="226"/>
      <c r="AI148" s="227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</row>
    <row r="149" spans="1:48" s="127" customFormat="1" ht="18" customHeight="1" thickBot="1" x14ac:dyDescent="0.35">
      <c r="A149" s="145" t="s">
        <v>144</v>
      </c>
      <c r="B149" s="144" t="s">
        <v>322</v>
      </c>
      <c r="C149" s="222">
        <v>225179</v>
      </c>
      <c r="D149" s="145"/>
      <c r="E149" s="198">
        <v>225179</v>
      </c>
      <c r="F149" s="198">
        <f t="shared" si="4"/>
        <v>225179</v>
      </c>
      <c r="G149" s="198">
        <f t="shared" si="5"/>
        <v>0</v>
      </c>
      <c r="H149" s="225"/>
      <c r="I149" s="226"/>
      <c r="J149" s="226"/>
      <c r="K149" s="226"/>
      <c r="L149" s="226">
        <v>8040</v>
      </c>
      <c r="M149" s="226">
        <v>17926</v>
      </c>
      <c r="N149" s="226">
        <v>17603</v>
      </c>
      <c r="O149" s="228"/>
      <c r="P149" s="226">
        <v>24916</v>
      </c>
      <c r="Q149" s="226">
        <f>18980+17765</f>
        <v>36745</v>
      </c>
      <c r="R149" s="226">
        <v>17765</v>
      </c>
      <c r="S149" s="226">
        <v>18531</v>
      </c>
      <c r="T149" s="226">
        <v>30251</v>
      </c>
      <c r="U149" s="226"/>
      <c r="V149" s="226"/>
      <c r="W149" s="226"/>
      <c r="X149" s="226">
        <v>53402</v>
      </c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7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</row>
    <row r="150" spans="1:48" s="127" customFormat="1" ht="18" customHeight="1" thickBot="1" x14ac:dyDescent="0.35">
      <c r="A150" s="145" t="s">
        <v>145</v>
      </c>
      <c r="B150" s="144" t="s">
        <v>323</v>
      </c>
      <c r="C150" s="222">
        <v>16622</v>
      </c>
      <c r="D150" s="145"/>
      <c r="E150" s="198">
        <v>16622</v>
      </c>
      <c r="F150" s="198">
        <f t="shared" si="4"/>
        <v>16622</v>
      </c>
      <c r="G150" s="198">
        <f t="shared" si="5"/>
        <v>0</v>
      </c>
      <c r="H150" s="225"/>
      <c r="I150" s="226"/>
      <c r="J150" s="226"/>
      <c r="K150" s="226"/>
      <c r="L150" s="226">
        <v>5586</v>
      </c>
      <c r="M150" s="226"/>
      <c r="N150" s="226">
        <v>2794</v>
      </c>
      <c r="O150" s="228"/>
      <c r="P150" s="226"/>
      <c r="Q150" s="226">
        <v>4191</v>
      </c>
      <c r="R150" s="226"/>
      <c r="S150" s="226">
        <v>4049</v>
      </c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>
        <v>2</v>
      </c>
      <c r="AD150" s="226"/>
      <c r="AE150" s="226"/>
      <c r="AF150" s="226"/>
      <c r="AG150" s="226"/>
      <c r="AH150" s="226"/>
      <c r="AI150" s="227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</row>
    <row r="151" spans="1:48" s="127" customFormat="1" ht="18" customHeight="1" thickBot="1" x14ac:dyDescent="0.35">
      <c r="A151" s="145" t="s">
        <v>146</v>
      </c>
      <c r="B151" s="144" t="s">
        <v>324</v>
      </c>
      <c r="C151" s="222">
        <v>7699</v>
      </c>
      <c r="D151" s="145"/>
      <c r="E151" s="198">
        <v>7699</v>
      </c>
      <c r="F151" s="198">
        <f t="shared" si="4"/>
        <v>7699</v>
      </c>
      <c r="G151" s="198">
        <f t="shared" si="5"/>
        <v>0</v>
      </c>
      <c r="H151" s="225"/>
      <c r="I151" s="226"/>
      <c r="J151" s="226"/>
      <c r="K151" s="226"/>
      <c r="L151" s="226"/>
      <c r="M151" s="226"/>
      <c r="O151" s="228"/>
      <c r="P151" s="226"/>
      <c r="Q151" s="226"/>
      <c r="R151" s="226"/>
      <c r="S151" s="226">
        <v>7699</v>
      </c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7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</row>
    <row r="152" spans="1:48" s="127" customFormat="1" ht="18" customHeight="1" thickBot="1" x14ac:dyDescent="0.35">
      <c r="A152" s="145" t="s">
        <v>147</v>
      </c>
      <c r="B152" s="144" t="s">
        <v>325</v>
      </c>
      <c r="C152" s="222">
        <v>31122</v>
      </c>
      <c r="D152" s="145"/>
      <c r="E152" s="198">
        <v>31122</v>
      </c>
      <c r="F152" s="198">
        <f t="shared" si="4"/>
        <v>31121.999999999996</v>
      </c>
      <c r="G152" s="198">
        <f t="shared" si="5"/>
        <v>0</v>
      </c>
      <c r="H152" s="225"/>
      <c r="I152" s="226"/>
      <c r="J152" s="226"/>
      <c r="K152" s="226"/>
      <c r="L152" s="226"/>
      <c r="M152" s="226"/>
      <c r="N152" s="226">
        <v>1919</v>
      </c>
      <c r="O152" s="228"/>
      <c r="P152" s="226"/>
      <c r="Q152" s="226"/>
      <c r="R152" s="226"/>
      <c r="S152" s="226">
        <v>3407</v>
      </c>
      <c r="T152" s="226"/>
      <c r="U152" s="226"/>
      <c r="V152" s="226">
        <v>2456.12</v>
      </c>
      <c r="W152" s="226"/>
      <c r="X152" s="226"/>
      <c r="Y152" s="226"/>
      <c r="Z152" s="226"/>
      <c r="AA152" s="226"/>
      <c r="AB152" s="226">
        <v>16264.61</v>
      </c>
      <c r="AC152" s="226"/>
      <c r="AD152" s="226"/>
      <c r="AE152" s="226">
        <v>2024.18</v>
      </c>
      <c r="AF152" s="226"/>
      <c r="AG152" s="226"/>
      <c r="AH152" s="226"/>
      <c r="AI152" s="227">
        <v>506.76</v>
      </c>
      <c r="AJ152" s="228"/>
      <c r="AK152" s="228"/>
      <c r="AL152" s="228"/>
      <c r="AM152" s="228"/>
      <c r="AN152" s="306">
        <v>3562.98</v>
      </c>
      <c r="AO152" s="228"/>
      <c r="AP152" s="306">
        <v>981.35</v>
      </c>
      <c r="AQ152" s="228"/>
      <c r="AR152" s="228"/>
      <c r="AS152" s="228"/>
      <c r="AT152" s="228"/>
      <c r="AU152" s="228"/>
      <c r="AV152" s="228"/>
    </row>
    <row r="153" spans="1:48" s="127" customFormat="1" ht="18" customHeight="1" thickBot="1" x14ac:dyDescent="0.35">
      <c r="A153" s="145" t="s">
        <v>148</v>
      </c>
      <c r="B153" s="144" t="s">
        <v>326</v>
      </c>
      <c r="C153" s="222">
        <v>46485</v>
      </c>
      <c r="D153" s="145"/>
      <c r="E153" s="198">
        <v>46485</v>
      </c>
      <c r="F153" s="198">
        <f t="shared" si="4"/>
        <v>46485</v>
      </c>
      <c r="G153" s="198">
        <f t="shared" si="5"/>
        <v>0</v>
      </c>
      <c r="H153" s="225"/>
      <c r="I153" s="226"/>
      <c r="J153" s="226"/>
      <c r="K153" s="226"/>
      <c r="L153" s="226">
        <f>4096+4097</f>
        <v>8193</v>
      </c>
      <c r="M153" s="226">
        <v>4098</v>
      </c>
      <c r="N153" s="226">
        <v>4085</v>
      </c>
      <c r="O153" s="226">
        <v>4097</v>
      </c>
      <c r="P153" s="226">
        <v>4096</v>
      </c>
      <c r="Q153" s="226">
        <v>4097</v>
      </c>
      <c r="R153" s="226">
        <v>4091</v>
      </c>
      <c r="S153" s="226">
        <v>4098</v>
      </c>
      <c r="T153" s="226">
        <v>4100</v>
      </c>
      <c r="U153" s="226">
        <v>4118</v>
      </c>
      <c r="V153" s="226">
        <v>1412</v>
      </c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7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</row>
    <row r="154" spans="1:48" s="127" customFormat="1" ht="18" customHeight="1" thickBot="1" x14ac:dyDescent="0.35">
      <c r="A154" s="145" t="s">
        <v>149</v>
      </c>
      <c r="B154" s="144" t="s">
        <v>327</v>
      </c>
      <c r="C154" s="222">
        <v>6732</v>
      </c>
      <c r="D154" s="145"/>
      <c r="E154" s="198">
        <v>6732</v>
      </c>
      <c r="F154" s="198">
        <f t="shared" si="4"/>
        <v>6732</v>
      </c>
      <c r="G154" s="198">
        <f t="shared" si="5"/>
        <v>0</v>
      </c>
      <c r="H154" s="225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>
        <f>6732-6720</f>
        <v>12</v>
      </c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>
        <v>6720</v>
      </c>
      <c r="AF154" s="226"/>
      <c r="AG154" s="226"/>
      <c r="AH154" s="226"/>
      <c r="AI154" s="227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</row>
    <row r="155" spans="1:48" s="127" customFormat="1" ht="18" customHeight="1" thickBot="1" x14ac:dyDescent="0.35">
      <c r="A155" s="145" t="s">
        <v>150</v>
      </c>
      <c r="B155" s="144" t="s">
        <v>328</v>
      </c>
      <c r="C155" s="222">
        <v>7858</v>
      </c>
      <c r="D155" s="145"/>
      <c r="E155" s="198">
        <v>7858</v>
      </c>
      <c r="F155" s="198">
        <f t="shared" si="4"/>
        <v>7858</v>
      </c>
      <c r="G155" s="198">
        <f t="shared" si="5"/>
        <v>0</v>
      </c>
      <c r="H155" s="225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>
        <f>7858-112</f>
        <v>7746</v>
      </c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>
        <v>112</v>
      </c>
      <c r="AF155" s="226"/>
      <c r="AG155" s="226"/>
      <c r="AH155" s="226"/>
      <c r="AI155" s="227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</row>
    <row r="156" spans="1:48" s="127" customFormat="1" ht="18" customHeight="1" thickBot="1" x14ac:dyDescent="0.35">
      <c r="A156" s="145" t="s">
        <v>151</v>
      </c>
      <c r="B156" s="144" t="s">
        <v>329</v>
      </c>
      <c r="C156" s="222">
        <v>34209</v>
      </c>
      <c r="D156" s="145"/>
      <c r="E156" s="198">
        <v>34209</v>
      </c>
      <c r="F156" s="198">
        <f t="shared" si="4"/>
        <v>34209</v>
      </c>
      <c r="G156" s="198">
        <f t="shared" si="5"/>
        <v>0</v>
      </c>
      <c r="H156" s="225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>
        <v>34209</v>
      </c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7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</row>
    <row r="157" spans="1:48" s="127" customFormat="1" ht="18" customHeight="1" thickBot="1" x14ac:dyDescent="0.35">
      <c r="A157" s="145" t="s">
        <v>152</v>
      </c>
      <c r="B157" s="144" t="s">
        <v>330</v>
      </c>
      <c r="C157" s="222">
        <v>15768</v>
      </c>
      <c r="D157" s="145"/>
      <c r="E157" s="198">
        <v>15768</v>
      </c>
      <c r="F157" s="198">
        <f t="shared" si="4"/>
        <v>15768</v>
      </c>
      <c r="G157" s="198">
        <f t="shared" si="5"/>
        <v>0</v>
      </c>
      <c r="H157" s="225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>
        <v>15238.01</v>
      </c>
      <c r="W157" s="226"/>
      <c r="X157" s="226"/>
      <c r="Y157" s="226"/>
      <c r="Z157" s="226"/>
      <c r="AA157" s="226"/>
      <c r="AB157" s="226"/>
      <c r="AC157" s="226">
        <v>529.99</v>
      </c>
      <c r="AD157" s="226"/>
      <c r="AE157" s="226"/>
      <c r="AF157" s="226"/>
      <c r="AG157" s="226"/>
      <c r="AH157" s="226"/>
      <c r="AI157" s="227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</row>
    <row r="158" spans="1:48" s="127" customFormat="1" ht="18" customHeight="1" thickBot="1" x14ac:dyDescent="0.35">
      <c r="A158" s="145" t="s">
        <v>153</v>
      </c>
      <c r="B158" s="144" t="s">
        <v>331</v>
      </c>
      <c r="C158" s="222">
        <v>10350</v>
      </c>
      <c r="D158" s="145"/>
      <c r="E158" s="198">
        <v>10350</v>
      </c>
      <c r="F158" s="198">
        <f t="shared" si="4"/>
        <v>10350</v>
      </c>
      <c r="G158" s="198">
        <f>C158-F158</f>
        <v>0</v>
      </c>
      <c r="H158" s="225" t="s">
        <v>657</v>
      </c>
      <c r="I158" s="226"/>
      <c r="J158" s="226"/>
      <c r="K158" s="226"/>
      <c r="L158" s="226"/>
      <c r="M158" s="226"/>
      <c r="N158" s="226"/>
      <c r="O158" s="226"/>
      <c r="P158" s="226">
        <v>10243</v>
      </c>
      <c r="Q158" s="226"/>
      <c r="R158" s="226"/>
      <c r="S158" s="226"/>
      <c r="T158" s="226">
        <v>107</v>
      </c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7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</row>
    <row r="159" spans="1:48" s="127" customFormat="1" ht="18" customHeight="1" thickBot="1" x14ac:dyDescent="0.35">
      <c r="A159" s="145" t="s">
        <v>154</v>
      </c>
      <c r="B159" s="144" t="s">
        <v>332</v>
      </c>
      <c r="C159" s="222">
        <v>14318</v>
      </c>
      <c r="D159" s="145"/>
      <c r="E159" s="198">
        <v>14318</v>
      </c>
      <c r="F159" s="198">
        <f t="shared" si="4"/>
        <v>14318</v>
      </c>
      <c r="G159" s="198">
        <f t="shared" si="5"/>
        <v>0</v>
      </c>
      <c r="H159" s="225"/>
      <c r="I159" s="226"/>
      <c r="J159" s="226"/>
      <c r="K159" s="226"/>
      <c r="L159" s="226"/>
      <c r="M159" s="226">
        <v>2165</v>
      </c>
      <c r="N159" s="226"/>
      <c r="O159" s="226">
        <v>1097</v>
      </c>
      <c r="P159" s="226">
        <v>1989</v>
      </c>
      <c r="Q159" s="226"/>
      <c r="R159" s="226">
        <v>877</v>
      </c>
      <c r="S159" s="226">
        <v>358</v>
      </c>
      <c r="T159" s="226"/>
      <c r="U159" s="226"/>
      <c r="V159" s="226"/>
      <c r="W159" s="226"/>
      <c r="X159" s="226">
        <v>77.569999999999993</v>
      </c>
      <c r="Y159" s="226">
        <v>220</v>
      </c>
      <c r="Z159" s="226"/>
      <c r="AA159" s="226"/>
      <c r="AB159" s="226"/>
      <c r="AC159" s="226">
        <v>327.51</v>
      </c>
      <c r="AD159" s="226"/>
      <c r="AE159" s="226">
        <v>1934.72</v>
      </c>
      <c r="AF159" s="226"/>
      <c r="AG159" s="226"/>
      <c r="AH159" s="226"/>
      <c r="AI159" s="227"/>
      <c r="AJ159" s="306">
        <v>5272.2</v>
      </c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</row>
    <row r="160" spans="1:48" s="127" customFormat="1" ht="18" customHeight="1" thickBot="1" x14ac:dyDescent="0.35">
      <c r="A160" s="145" t="s">
        <v>155</v>
      </c>
      <c r="B160" s="144" t="s">
        <v>333</v>
      </c>
      <c r="C160" s="222">
        <v>37062</v>
      </c>
      <c r="D160" s="145"/>
      <c r="E160" s="198">
        <v>37062</v>
      </c>
      <c r="F160" s="198">
        <f t="shared" si="4"/>
        <v>37062</v>
      </c>
      <c r="G160" s="198">
        <f t="shared" si="5"/>
        <v>0</v>
      </c>
      <c r="H160" s="225" t="s">
        <v>658</v>
      </c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>
        <v>37062</v>
      </c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7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</row>
    <row r="161" spans="1:48" s="127" customFormat="1" ht="18" customHeight="1" thickBot="1" x14ac:dyDescent="0.35">
      <c r="A161" s="145" t="s">
        <v>156</v>
      </c>
      <c r="B161" s="144" t="s">
        <v>334</v>
      </c>
      <c r="C161" s="222">
        <v>2690</v>
      </c>
      <c r="D161" s="145"/>
      <c r="E161" s="198">
        <v>2690</v>
      </c>
      <c r="F161" s="198">
        <f t="shared" si="4"/>
        <v>2690</v>
      </c>
      <c r="G161" s="198">
        <f t="shared" si="5"/>
        <v>0</v>
      </c>
      <c r="H161" s="225"/>
      <c r="I161" s="226"/>
      <c r="J161" s="226"/>
      <c r="K161" s="226"/>
      <c r="L161" s="226"/>
      <c r="M161" s="226">
        <v>1022</v>
      </c>
      <c r="N161" s="226"/>
      <c r="O161" s="226"/>
      <c r="P161" s="226">
        <f>313+286</f>
        <v>599</v>
      </c>
      <c r="Q161" s="226">
        <v>1055</v>
      </c>
      <c r="R161" s="226"/>
      <c r="S161" s="226">
        <v>14</v>
      </c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7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</row>
    <row r="162" spans="1:48" s="127" customFormat="1" ht="18" customHeight="1" thickBot="1" x14ac:dyDescent="0.35">
      <c r="A162" s="145" t="s">
        <v>157</v>
      </c>
      <c r="B162" s="144" t="s">
        <v>335</v>
      </c>
      <c r="C162" s="222">
        <v>17574</v>
      </c>
      <c r="D162" s="145"/>
      <c r="E162" s="198">
        <v>17574</v>
      </c>
      <c r="F162" s="198">
        <f t="shared" si="4"/>
        <v>17574</v>
      </c>
      <c r="G162" s="198">
        <f t="shared" si="5"/>
        <v>0</v>
      </c>
      <c r="H162" s="225"/>
      <c r="I162" s="226"/>
      <c r="J162" s="226"/>
      <c r="K162" s="226"/>
      <c r="L162" s="226"/>
      <c r="M162" s="226"/>
      <c r="N162" s="226"/>
      <c r="O162" s="226"/>
      <c r="P162" s="226"/>
      <c r="Q162" s="226">
        <v>8702</v>
      </c>
      <c r="R162" s="226"/>
      <c r="S162" s="226">
        <v>8787</v>
      </c>
      <c r="T162" s="226"/>
      <c r="U162" s="226"/>
      <c r="V162" s="226"/>
      <c r="W162" s="226">
        <v>85</v>
      </c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7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</row>
    <row r="163" spans="1:48" s="127" customFormat="1" ht="18" customHeight="1" thickBot="1" x14ac:dyDescent="0.35">
      <c r="A163" s="145" t="s">
        <v>158</v>
      </c>
      <c r="B163" s="144" t="s">
        <v>336</v>
      </c>
      <c r="C163" s="222">
        <v>10036</v>
      </c>
      <c r="D163" s="145"/>
      <c r="E163" s="198">
        <v>10036</v>
      </c>
      <c r="F163" s="198">
        <f t="shared" si="4"/>
        <v>10036</v>
      </c>
      <c r="G163" s="198">
        <f t="shared" si="5"/>
        <v>0</v>
      </c>
      <c r="H163" s="225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>
        <v>2938.5</v>
      </c>
      <c r="AB163" s="226"/>
      <c r="AC163" s="226">
        <v>7097.5</v>
      </c>
      <c r="AD163" s="226"/>
      <c r="AE163" s="226"/>
      <c r="AF163" s="226"/>
      <c r="AG163" s="226"/>
      <c r="AH163" s="226"/>
      <c r="AI163" s="227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</row>
    <row r="164" spans="1:48" s="127" customFormat="1" ht="18" customHeight="1" thickBot="1" x14ac:dyDescent="0.35">
      <c r="A164" s="145" t="s">
        <v>159</v>
      </c>
      <c r="B164" s="144" t="s">
        <v>337</v>
      </c>
      <c r="C164" s="222">
        <v>8970</v>
      </c>
      <c r="D164" s="145" t="s">
        <v>373</v>
      </c>
      <c r="E164" s="198">
        <v>0</v>
      </c>
      <c r="F164" s="198">
        <f t="shared" si="4"/>
        <v>0</v>
      </c>
      <c r="G164" s="198">
        <f t="shared" si="5"/>
        <v>0</v>
      </c>
      <c r="H164" s="225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7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</row>
    <row r="165" spans="1:48" s="127" customFormat="1" ht="18" customHeight="1" thickBot="1" x14ac:dyDescent="0.35">
      <c r="A165" s="145" t="s">
        <v>160</v>
      </c>
      <c r="B165" s="144" t="s">
        <v>637</v>
      </c>
      <c r="C165" s="222">
        <v>4478</v>
      </c>
      <c r="D165" s="145" t="s">
        <v>373</v>
      </c>
      <c r="E165" s="198">
        <v>0</v>
      </c>
      <c r="F165" s="198">
        <f t="shared" si="4"/>
        <v>0</v>
      </c>
      <c r="G165" s="198">
        <f t="shared" si="5"/>
        <v>0</v>
      </c>
      <c r="H165" s="225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7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</row>
    <row r="166" spans="1:48" s="127" customFormat="1" ht="18" customHeight="1" thickBot="1" x14ac:dyDescent="0.35">
      <c r="A166" s="145" t="s">
        <v>161</v>
      </c>
      <c r="B166" s="144" t="s">
        <v>338</v>
      </c>
      <c r="C166" s="222">
        <v>57118</v>
      </c>
      <c r="D166" s="145"/>
      <c r="E166" s="198">
        <v>57118</v>
      </c>
      <c r="F166" s="198">
        <f t="shared" si="4"/>
        <v>57118</v>
      </c>
      <c r="G166" s="198">
        <f t="shared" si="5"/>
        <v>0</v>
      </c>
      <c r="H166" s="225"/>
      <c r="I166" s="226"/>
      <c r="J166" s="226"/>
      <c r="K166" s="226"/>
      <c r="L166" s="226">
        <v>9741</v>
      </c>
      <c r="M166" s="226">
        <v>4708</v>
      </c>
      <c r="N166" s="226">
        <v>5463</v>
      </c>
      <c r="O166" s="226">
        <v>4707</v>
      </c>
      <c r="P166" s="226">
        <v>4707</v>
      </c>
      <c r="Q166" s="226">
        <v>4707</v>
      </c>
      <c r="R166" s="226">
        <v>4707</v>
      </c>
      <c r="S166" s="226">
        <v>4977</v>
      </c>
      <c r="T166" s="226">
        <v>4398</v>
      </c>
      <c r="U166" s="226">
        <v>9003</v>
      </c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7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</row>
    <row r="167" spans="1:48" s="127" customFormat="1" ht="18" customHeight="1" thickBot="1" x14ac:dyDescent="0.35">
      <c r="A167" s="145" t="s">
        <v>162</v>
      </c>
      <c r="B167" s="144" t="s">
        <v>339</v>
      </c>
      <c r="C167" s="222">
        <v>16858</v>
      </c>
      <c r="D167" s="145"/>
      <c r="E167" s="198">
        <v>16858</v>
      </c>
      <c r="F167" s="198">
        <f t="shared" si="4"/>
        <v>16858</v>
      </c>
      <c r="G167" s="198">
        <f t="shared" si="5"/>
        <v>0</v>
      </c>
      <c r="H167" s="225"/>
      <c r="I167" s="226"/>
      <c r="J167" s="226"/>
      <c r="K167" s="226"/>
      <c r="L167" s="226"/>
      <c r="M167" s="226"/>
      <c r="N167" s="226">
        <v>4430</v>
      </c>
      <c r="O167" s="226"/>
      <c r="P167" s="226">
        <v>3459</v>
      </c>
      <c r="Q167" s="226"/>
      <c r="R167" s="226">
        <v>3056</v>
      </c>
      <c r="S167" s="226">
        <v>2049</v>
      </c>
      <c r="T167" s="226"/>
      <c r="U167" s="226"/>
      <c r="V167" s="226"/>
      <c r="W167" s="226"/>
      <c r="X167" s="226"/>
      <c r="Y167" s="226">
        <v>3864</v>
      </c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7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</row>
    <row r="168" spans="1:48" s="127" customFormat="1" ht="18" customHeight="1" thickBot="1" x14ac:dyDescent="0.35">
      <c r="A168" s="145" t="s">
        <v>163</v>
      </c>
      <c r="B168" s="144" t="s">
        <v>340</v>
      </c>
      <c r="C168" s="222">
        <v>64276</v>
      </c>
      <c r="D168" s="145"/>
      <c r="E168" s="198">
        <v>64276</v>
      </c>
      <c r="F168" s="198">
        <f t="shared" si="4"/>
        <v>64276</v>
      </c>
      <c r="G168" s="198">
        <f t="shared" si="5"/>
        <v>0</v>
      </c>
      <c r="H168" s="225"/>
      <c r="I168" s="226"/>
      <c r="J168" s="226"/>
      <c r="K168" s="226"/>
      <c r="L168" s="226"/>
      <c r="M168" s="226"/>
      <c r="O168" s="226">
        <v>35332</v>
      </c>
      <c r="P168" s="226"/>
      <c r="Q168" s="226"/>
      <c r="R168" s="226"/>
      <c r="S168" s="226">
        <v>28944</v>
      </c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7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</row>
    <row r="169" spans="1:48" s="127" customFormat="1" ht="18" customHeight="1" thickBot="1" x14ac:dyDescent="0.35">
      <c r="A169" s="145" t="s">
        <v>164</v>
      </c>
      <c r="B169" s="144" t="s">
        <v>341</v>
      </c>
      <c r="C169" s="222">
        <v>12946</v>
      </c>
      <c r="D169" s="145"/>
      <c r="E169" s="198">
        <v>12946</v>
      </c>
      <c r="F169" s="198">
        <f t="shared" si="4"/>
        <v>12946</v>
      </c>
      <c r="G169" s="198">
        <f t="shared" si="5"/>
        <v>0</v>
      </c>
      <c r="H169" s="225"/>
      <c r="I169" s="226"/>
      <c r="J169" s="226"/>
      <c r="K169" s="226"/>
      <c r="L169" s="226"/>
      <c r="M169" s="226"/>
      <c r="N169" s="226">
        <v>5362</v>
      </c>
      <c r="O169" s="226"/>
      <c r="P169" s="226"/>
      <c r="Q169" s="226"/>
      <c r="R169" s="226"/>
      <c r="S169" s="226">
        <v>6825</v>
      </c>
      <c r="T169" s="226">
        <v>248</v>
      </c>
      <c r="U169" s="226"/>
      <c r="V169" s="226"/>
      <c r="W169" s="226"/>
      <c r="X169" s="226"/>
      <c r="Y169" s="226"/>
      <c r="Z169" s="226">
        <v>511</v>
      </c>
      <c r="AA169" s="226"/>
      <c r="AB169" s="226"/>
      <c r="AC169" s="226"/>
      <c r="AD169" s="226"/>
      <c r="AE169" s="226"/>
      <c r="AF169" s="226"/>
      <c r="AG169" s="226"/>
      <c r="AH169" s="226"/>
      <c r="AI169" s="227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</row>
    <row r="170" spans="1:48" s="127" customFormat="1" ht="18" customHeight="1" thickBot="1" x14ac:dyDescent="0.35">
      <c r="A170" s="145" t="s">
        <v>165</v>
      </c>
      <c r="B170" s="144" t="s">
        <v>342</v>
      </c>
      <c r="C170" s="222">
        <v>3553</v>
      </c>
      <c r="D170" s="145" t="s">
        <v>371</v>
      </c>
      <c r="E170" s="198">
        <v>0</v>
      </c>
      <c r="F170" s="198">
        <f t="shared" si="4"/>
        <v>0</v>
      </c>
      <c r="G170" s="198">
        <f t="shared" si="5"/>
        <v>0</v>
      </c>
      <c r="H170" s="225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7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</row>
    <row r="171" spans="1:48" s="127" customFormat="1" ht="18" customHeight="1" thickBot="1" x14ac:dyDescent="0.35">
      <c r="A171" s="145" t="s">
        <v>166</v>
      </c>
      <c r="B171" s="144" t="s">
        <v>343</v>
      </c>
      <c r="C171" s="222">
        <v>4421</v>
      </c>
      <c r="D171" s="145" t="s">
        <v>373</v>
      </c>
      <c r="E171" s="198">
        <v>0</v>
      </c>
      <c r="F171" s="198">
        <f t="shared" si="4"/>
        <v>0</v>
      </c>
      <c r="G171" s="198">
        <f t="shared" si="5"/>
        <v>0</v>
      </c>
      <c r="H171" s="225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7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</row>
    <row r="172" spans="1:48" s="127" customFormat="1" ht="18" customHeight="1" thickBot="1" x14ac:dyDescent="0.35">
      <c r="A172" s="145" t="s">
        <v>167</v>
      </c>
      <c r="B172" s="144" t="s">
        <v>344</v>
      </c>
      <c r="C172" s="222">
        <v>993</v>
      </c>
      <c r="D172" s="145" t="s">
        <v>373</v>
      </c>
      <c r="E172" s="198">
        <v>0</v>
      </c>
      <c r="F172" s="198">
        <f t="shared" si="4"/>
        <v>0</v>
      </c>
      <c r="G172" s="198">
        <f t="shared" si="5"/>
        <v>0</v>
      </c>
      <c r="H172" s="225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7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</row>
    <row r="173" spans="1:48" s="127" customFormat="1" ht="18" customHeight="1" thickBot="1" x14ac:dyDescent="0.35">
      <c r="A173" s="145" t="s">
        <v>168</v>
      </c>
      <c r="B173" s="144" t="s">
        <v>345</v>
      </c>
      <c r="C173" s="222">
        <v>4295</v>
      </c>
      <c r="D173" s="145" t="s">
        <v>371</v>
      </c>
      <c r="E173" s="198">
        <v>0</v>
      </c>
      <c r="F173" s="198">
        <f t="shared" si="4"/>
        <v>0</v>
      </c>
      <c r="G173" s="198">
        <f t="shared" si="5"/>
        <v>0</v>
      </c>
      <c r="H173" s="225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7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</row>
    <row r="174" spans="1:48" s="127" customFormat="1" ht="18" customHeight="1" thickBot="1" x14ac:dyDescent="0.35">
      <c r="A174" s="145" t="s">
        <v>169</v>
      </c>
      <c r="B174" s="144" t="s">
        <v>346</v>
      </c>
      <c r="C174" s="222">
        <v>60313</v>
      </c>
      <c r="D174" s="145" t="s">
        <v>372</v>
      </c>
      <c r="E174" s="198">
        <v>0</v>
      </c>
      <c r="F174" s="198">
        <f t="shared" si="4"/>
        <v>0</v>
      </c>
      <c r="G174" s="198">
        <f t="shared" si="5"/>
        <v>0</v>
      </c>
      <c r="H174" s="225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7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</row>
    <row r="175" spans="1:48" s="127" customFormat="1" ht="18" customHeight="1" thickBot="1" x14ac:dyDescent="0.35">
      <c r="A175" s="145" t="s">
        <v>170</v>
      </c>
      <c r="B175" s="144" t="s">
        <v>347</v>
      </c>
      <c r="C175" s="222">
        <v>36723</v>
      </c>
      <c r="D175" s="145"/>
      <c r="E175" s="198">
        <v>36723</v>
      </c>
      <c r="F175" s="198">
        <f t="shared" si="4"/>
        <v>36723</v>
      </c>
      <c r="G175" s="198">
        <f t="shared" si="5"/>
        <v>0</v>
      </c>
      <c r="H175" s="225"/>
      <c r="I175" s="226"/>
      <c r="J175" s="226"/>
      <c r="K175" s="226"/>
      <c r="L175" s="226"/>
      <c r="M175" s="226"/>
      <c r="N175" s="226"/>
      <c r="O175" s="226">
        <v>18937</v>
      </c>
      <c r="P175" s="226"/>
      <c r="Q175" s="226"/>
      <c r="R175" s="226">
        <v>17786</v>
      </c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7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</row>
    <row r="176" spans="1:48" s="127" customFormat="1" ht="18" customHeight="1" thickBot="1" x14ac:dyDescent="0.35">
      <c r="A176" s="145" t="s">
        <v>171</v>
      </c>
      <c r="B176" s="144" t="s">
        <v>638</v>
      </c>
      <c r="C176" s="222">
        <v>90412</v>
      </c>
      <c r="D176" s="145"/>
      <c r="E176" s="198">
        <v>90412</v>
      </c>
      <c r="F176" s="198">
        <f t="shared" si="4"/>
        <v>90412</v>
      </c>
      <c r="G176" s="198">
        <f t="shared" si="5"/>
        <v>0</v>
      </c>
      <c r="H176" s="225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>
        <v>10828</v>
      </c>
      <c r="T176" s="226">
        <v>79584</v>
      </c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7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</row>
    <row r="177" spans="1:48" s="127" customFormat="1" ht="18" customHeight="1" thickBot="1" x14ac:dyDescent="0.35">
      <c r="A177" s="145" t="s">
        <v>172</v>
      </c>
      <c r="B177" s="144" t="s">
        <v>348</v>
      </c>
      <c r="C177" s="222">
        <v>72903</v>
      </c>
      <c r="D177" s="145"/>
      <c r="E177" s="198">
        <v>72903</v>
      </c>
      <c r="F177" s="198">
        <f t="shared" si="4"/>
        <v>72903</v>
      </c>
      <c r="G177" s="198">
        <f t="shared" si="5"/>
        <v>0</v>
      </c>
      <c r="H177" s="225"/>
      <c r="I177" s="226"/>
      <c r="J177" s="226"/>
      <c r="K177" s="226"/>
      <c r="L177" s="226">
        <v>4954</v>
      </c>
      <c r="M177" s="226">
        <v>5528</v>
      </c>
      <c r="N177" s="226"/>
      <c r="O177" s="226">
        <v>11054</v>
      </c>
      <c r="P177" s="226"/>
      <c r="Q177" s="226">
        <v>24555</v>
      </c>
      <c r="R177" s="226">
        <v>5526</v>
      </c>
      <c r="S177" s="226">
        <v>5528</v>
      </c>
      <c r="T177" s="226">
        <v>5534.37</v>
      </c>
      <c r="U177" s="226"/>
      <c r="V177" s="226">
        <v>4123.63</v>
      </c>
      <c r="W177" s="226"/>
      <c r="X177" s="226"/>
      <c r="Y177" s="226"/>
      <c r="Z177" s="226"/>
      <c r="AA177" s="226"/>
      <c r="AB177" s="226"/>
      <c r="AC177" s="226">
        <v>6100</v>
      </c>
      <c r="AD177" s="226"/>
      <c r="AE177" s="226"/>
      <c r="AF177" s="226"/>
      <c r="AG177" s="226"/>
      <c r="AH177" s="226"/>
      <c r="AI177" s="227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</row>
    <row r="178" spans="1:48" s="127" customFormat="1" ht="18" customHeight="1" thickBot="1" x14ac:dyDescent="0.35">
      <c r="A178" s="145" t="s">
        <v>173</v>
      </c>
      <c r="B178" s="144" t="s">
        <v>349</v>
      </c>
      <c r="C178" s="222">
        <v>60840</v>
      </c>
      <c r="D178" s="145"/>
      <c r="E178" s="198">
        <v>60840</v>
      </c>
      <c r="F178" s="198">
        <f t="shared" si="4"/>
        <v>60840</v>
      </c>
      <c r="G178" s="198">
        <f t="shared" si="5"/>
        <v>0</v>
      </c>
      <c r="H178" s="225"/>
      <c r="I178" s="226"/>
      <c r="J178" s="226"/>
      <c r="K178" s="226"/>
      <c r="L178" s="226"/>
      <c r="M178" s="226">
        <v>18192</v>
      </c>
      <c r="N178" s="226"/>
      <c r="O178" s="226"/>
      <c r="P178" s="226">
        <v>18556</v>
      </c>
      <c r="Q178" s="226"/>
      <c r="R178" s="226"/>
      <c r="S178" s="226">
        <v>23728</v>
      </c>
      <c r="T178" s="226"/>
      <c r="U178" s="226"/>
      <c r="V178" s="226"/>
      <c r="W178" s="226"/>
      <c r="X178" s="226"/>
      <c r="Y178" s="226">
        <v>364</v>
      </c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7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</row>
    <row r="179" spans="1:48" s="127" customFormat="1" ht="18" customHeight="1" thickBot="1" x14ac:dyDescent="0.35">
      <c r="A179" s="145" t="s">
        <v>174</v>
      </c>
      <c r="B179" s="144" t="s">
        <v>350</v>
      </c>
      <c r="C179" s="222">
        <v>693532</v>
      </c>
      <c r="D179" s="145"/>
      <c r="E179" s="198">
        <v>693532</v>
      </c>
      <c r="F179" s="198">
        <f t="shared" si="4"/>
        <v>693532.005</v>
      </c>
      <c r="G179" s="198">
        <f t="shared" si="5"/>
        <v>-5.0000000046566129E-3</v>
      </c>
      <c r="H179" s="225"/>
      <c r="I179" s="226"/>
      <c r="J179" s="226"/>
      <c r="K179" s="226"/>
      <c r="L179" s="226">
        <v>70593</v>
      </c>
      <c r="M179" s="226">
        <v>31545</v>
      </c>
      <c r="N179" s="226"/>
      <c r="O179" s="226">
        <v>119129</v>
      </c>
      <c r="P179" s="226">
        <v>83218</v>
      </c>
      <c r="Q179" s="226">
        <v>31543</v>
      </c>
      <c r="R179" s="226">
        <v>44983</v>
      </c>
      <c r="S179" s="226">
        <v>71707.524999999994</v>
      </c>
      <c r="T179" s="226">
        <v>85307.51</v>
      </c>
      <c r="U179" s="226"/>
      <c r="V179" s="226"/>
      <c r="W179" s="226">
        <v>50600.85</v>
      </c>
      <c r="X179" s="226">
        <v>53691.41</v>
      </c>
      <c r="Y179" s="226">
        <v>27085.37</v>
      </c>
      <c r="Z179" s="226">
        <v>24128.34</v>
      </c>
      <c r="AA179" s="226"/>
      <c r="AB179" s="226"/>
      <c r="AC179" s="226"/>
      <c r="AD179" s="226"/>
      <c r="AE179" s="226"/>
      <c r="AF179" s="226"/>
      <c r="AG179" s="226"/>
      <c r="AH179" s="226"/>
      <c r="AI179" s="227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</row>
    <row r="180" spans="1:48" s="127" customFormat="1" ht="18" customHeight="1" thickBot="1" x14ac:dyDescent="0.35">
      <c r="A180" s="145" t="s">
        <v>175</v>
      </c>
      <c r="B180" s="144" t="s">
        <v>351</v>
      </c>
      <c r="C180" s="222">
        <v>30164</v>
      </c>
      <c r="D180" s="145" t="s">
        <v>372</v>
      </c>
      <c r="E180" s="198">
        <v>0</v>
      </c>
      <c r="F180" s="198">
        <f t="shared" si="4"/>
        <v>0</v>
      </c>
      <c r="G180" s="198">
        <f t="shared" si="5"/>
        <v>0</v>
      </c>
      <c r="H180" s="225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7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</row>
    <row r="181" spans="1:48" s="127" customFormat="1" ht="18" customHeight="1" thickBot="1" x14ac:dyDescent="0.35">
      <c r="A181" s="145" t="s">
        <v>176</v>
      </c>
      <c r="B181" s="144" t="s">
        <v>352</v>
      </c>
      <c r="C181" s="222">
        <v>79624</v>
      </c>
      <c r="D181" s="145"/>
      <c r="E181" s="198">
        <v>79624</v>
      </c>
      <c r="F181" s="198">
        <f t="shared" si="4"/>
        <v>79624</v>
      </c>
      <c r="G181" s="198">
        <f t="shared" si="5"/>
        <v>0</v>
      </c>
      <c r="H181" s="225"/>
      <c r="I181" s="226"/>
      <c r="J181" s="226"/>
      <c r="K181" s="226"/>
      <c r="L181" s="226"/>
      <c r="M181" s="226"/>
      <c r="N181" s="226"/>
      <c r="O181" s="226">
        <v>1819</v>
      </c>
      <c r="P181" s="226"/>
      <c r="Q181" s="226">
        <f>9031+11219</f>
        <v>20250</v>
      </c>
      <c r="R181" s="226">
        <v>22621</v>
      </c>
      <c r="S181" s="226">
        <f>4045+4045</f>
        <v>8090</v>
      </c>
      <c r="T181" s="226"/>
      <c r="U181" s="226"/>
      <c r="V181" s="226">
        <v>10564</v>
      </c>
      <c r="W181" s="226">
        <f>9074.97+6500</f>
        <v>15574.97</v>
      </c>
      <c r="X181" s="226"/>
      <c r="Y181" s="226">
        <v>705.03</v>
      </c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7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</row>
    <row r="182" spans="1:48" s="127" customFormat="1" ht="18" customHeight="1" thickBot="1" x14ac:dyDescent="0.35">
      <c r="A182" s="145" t="s">
        <v>177</v>
      </c>
      <c r="B182" s="144" t="s">
        <v>353</v>
      </c>
      <c r="C182" s="222">
        <v>28635</v>
      </c>
      <c r="D182" s="145"/>
      <c r="E182" s="198">
        <v>28635</v>
      </c>
      <c r="F182" s="198">
        <f t="shared" si="4"/>
        <v>28635</v>
      </c>
      <c r="G182" s="198">
        <f t="shared" si="5"/>
        <v>0</v>
      </c>
      <c r="H182" s="225"/>
      <c r="I182" s="226"/>
      <c r="J182" s="226"/>
      <c r="K182" s="226"/>
      <c r="L182" s="226"/>
      <c r="M182" s="226"/>
      <c r="N182" s="226"/>
      <c r="O182" s="226"/>
      <c r="P182" s="226">
        <v>6400</v>
      </c>
      <c r="Q182" s="226">
        <v>1299</v>
      </c>
      <c r="R182" s="226"/>
      <c r="S182" s="226">
        <v>3283</v>
      </c>
      <c r="T182" s="226"/>
      <c r="U182" s="226">
        <v>5591</v>
      </c>
      <c r="V182" s="226">
        <v>546.9</v>
      </c>
      <c r="W182" s="226"/>
      <c r="X182" s="226"/>
      <c r="Y182" s="226"/>
      <c r="Z182" s="226"/>
      <c r="AA182" s="226"/>
      <c r="AB182" s="226">
        <v>11515.1</v>
      </c>
      <c r="AC182" s="226"/>
      <c r="AD182" s="226"/>
      <c r="AE182" s="226"/>
      <c r="AF182" s="226"/>
      <c r="AG182" s="226"/>
      <c r="AH182" s="226"/>
      <c r="AI182" s="227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</row>
    <row r="183" spans="1:48" s="127" customFormat="1" ht="18" customHeight="1" thickBot="1" x14ac:dyDescent="0.35">
      <c r="A183" s="145" t="s">
        <v>178</v>
      </c>
      <c r="B183" s="144" t="s">
        <v>354</v>
      </c>
      <c r="C183" s="222">
        <v>3017</v>
      </c>
      <c r="D183" s="145" t="s">
        <v>372</v>
      </c>
      <c r="E183" s="198">
        <v>0</v>
      </c>
      <c r="F183" s="198">
        <f t="shared" si="4"/>
        <v>0</v>
      </c>
      <c r="G183" s="198">
        <f t="shared" si="5"/>
        <v>0</v>
      </c>
      <c r="H183" s="225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7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</row>
    <row r="184" spans="1:48" s="127" customFormat="1" ht="18" customHeight="1" thickBot="1" x14ac:dyDescent="0.35">
      <c r="A184" s="145" t="s">
        <v>179</v>
      </c>
      <c r="B184" s="144" t="s">
        <v>355</v>
      </c>
      <c r="C184" s="222">
        <v>1458</v>
      </c>
      <c r="D184" s="145" t="s">
        <v>372</v>
      </c>
      <c r="E184" s="198">
        <v>0</v>
      </c>
      <c r="F184" s="198">
        <f t="shared" si="4"/>
        <v>0</v>
      </c>
      <c r="G184" s="198">
        <f t="shared" si="5"/>
        <v>0</v>
      </c>
      <c r="H184" s="225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7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</row>
    <row r="185" spans="1:48" s="127" customFormat="1" ht="18" customHeight="1" thickBot="1" x14ac:dyDescent="0.35">
      <c r="A185" s="145" t="s">
        <v>180</v>
      </c>
      <c r="B185" s="144" t="s">
        <v>356</v>
      </c>
      <c r="C185" s="222">
        <v>2656</v>
      </c>
      <c r="D185" s="145" t="s">
        <v>372</v>
      </c>
      <c r="E185" s="198">
        <v>0</v>
      </c>
      <c r="F185" s="198">
        <f t="shared" si="4"/>
        <v>0</v>
      </c>
      <c r="G185" s="198">
        <f t="shared" si="5"/>
        <v>0</v>
      </c>
      <c r="H185" s="225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7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</row>
    <row r="186" spans="1:48" s="127" customFormat="1" ht="18" customHeight="1" thickBot="1" x14ac:dyDescent="0.35">
      <c r="A186" s="145" t="s">
        <v>181</v>
      </c>
      <c r="B186" s="144" t="s">
        <v>357</v>
      </c>
      <c r="C186" s="222">
        <v>25977</v>
      </c>
      <c r="D186" s="145"/>
      <c r="E186" s="198">
        <v>25977</v>
      </c>
      <c r="F186" s="198">
        <f t="shared" si="4"/>
        <v>25977</v>
      </c>
      <c r="G186" s="198">
        <f t="shared" si="5"/>
        <v>0</v>
      </c>
      <c r="H186" s="225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>
        <f>21961-141</f>
        <v>21820</v>
      </c>
      <c r="T186" s="226"/>
      <c r="U186" s="226"/>
      <c r="V186" s="226"/>
      <c r="W186" s="226"/>
      <c r="X186" s="226"/>
      <c r="Y186" s="226"/>
      <c r="Z186" s="226"/>
      <c r="AA186" s="226"/>
      <c r="AB186" s="226">
        <v>4157</v>
      </c>
      <c r="AC186" s="226"/>
      <c r="AD186" s="226"/>
      <c r="AE186" s="226"/>
      <c r="AF186" s="226"/>
      <c r="AG186" s="226"/>
      <c r="AH186" s="226"/>
      <c r="AI186" s="227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</row>
    <row r="187" spans="1:48" s="127" customFormat="1" ht="18" customHeight="1" thickBot="1" x14ac:dyDescent="0.35">
      <c r="A187" s="145" t="s">
        <v>182</v>
      </c>
      <c r="B187" s="144" t="s">
        <v>358</v>
      </c>
      <c r="C187" s="222">
        <v>22651</v>
      </c>
      <c r="D187" s="145"/>
      <c r="E187" s="198">
        <v>22651</v>
      </c>
      <c r="F187" s="198">
        <f t="shared" si="4"/>
        <v>22651</v>
      </c>
      <c r="G187" s="198">
        <f t="shared" si="5"/>
        <v>0</v>
      </c>
      <c r="H187" s="225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>
        <f>6615-4125</f>
        <v>2490</v>
      </c>
      <c r="T187" s="226">
        <v>16036</v>
      </c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>
        <v>4125</v>
      </c>
      <c r="AF187" s="226"/>
      <c r="AG187" s="226"/>
      <c r="AH187" s="226"/>
      <c r="AI187" s="227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</row>
    <row r="188" spans="1:48" s="127" customFormat="1" ht="18" customHeight="1" thickBot="1" x14ac:dyDescent="0.35">
      <c r="A188" s="145" t="s">
        <v>183</v>
      </c>
      <c r="B188" s="144" t="s">
        <v>359</v>
      </c>
      <c r="C188" s="222">
        <v>4324</v>
      </c>
      <c r="D188" s="145" t="s">
        <v>371</v>
      </c>
      <c r="E188" s="198">
        <v>0</v>
      </c>
      <c r="F188" s="198">
        <f t="shared" si="4"/>
        <v>0</v>
      </c>
      <c r="G188" s="198">
        <f t="shared" si="5"/>
        <v>0</v>
      </c>
      <c r="H188" s="225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7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</row>
    <row r="189" spans="1:48" s="127" customFormat="1" ht="18" customHeight="1" thickBot="1" x14ac:dyDescent="0.35">
      <c r="A189" s="145" t="s">
        <v>184</v>
      </c>
      <c r="B189" s="144" t="s">
        <v>360</v>
      </c>
      <c r="C189" s="222">
        <v>1530</v>
      </c>
      <c r="D189" s="145" t="s">
        <v>371</v>
      </c>
      <c r="E189" s="198">
        <v>0</v>
      </c>
      <c r="F189" s="198">
        <f t="shared" si="4"/>
        <v>0</v>
      </c>
      <c r="G189" s="198">
        <f t="shared" si="5"/>
        <v>0</v>
      </c>
      <c r="H189" s="225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7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</row>
    <row r="190" spans="1:48" s="127" customFormat="1" ht="18" customHeight="1" thickBot="1" x14ac:dyDescent="0.35">
      <c r="A190" s="145" t="s">
        <v>407</v>
      </c>
      <c r="B190" s="144" t="s">
        <v>576</v>
      </c>
      <c r="C190" s="222">
        <v>331727</v>
      </c>
      <c r="D190" s="145"/>
      <c r="E190" s="198">
        <v>331727</v>
      </c>
      <c r="F190" s="198">
        <f t="shared" si="4"/>
        <v>331727</v>
      </c>
      <c r="G190" s="198">
        <f t="shared" si="5"/>
        <v>0</v>
      </c>
      <c r="H190" s="225"/>
      <c r="I190" s="226"/>
      <c r="J190" s="226"/>
      <c r="K190" s="226"/>
      <c r="L190" s="226"/>
      <c r="M190" s="226">
        <v>5303</v>
      </c>
      <c r="N190" s="226">
        <v>21082</v>
      </c>
      <c r="O190" s="226">
        <v>31096</v>
      </c>
      <c r="P190" s="201">
        <v>57291</v>
      </c>
      <c r="Q190" s="226">
        <v>21124</v>
      </c>
      <c r="R190" s="201">
        <v>35398</v>
      </c>
      <c r="S190" s="201">
        <v>29270</v>
      </c>
      <c r="T190" s="201">
        <f>38112+7293</f>
        <v>45405</v>
      </c>
      <c r="U190" s="226">
        <v>7508</v>
      </c>
      <c r="V190" s="226"/>
      <c r="W190" s="226"/>
      <c r="X190" s="226"/>
      <c r="Y190" s="226">
        <v>20297</v>
      </c>
      <c r="Z190" s="226">
        <v>8517</v>
      </c>
      <c r="AA190" s="226">
        <v>17899</v>
      </c>
      <c r="AB190" s="226">
        <v>31537</v>
      </c>
      <c r="AC190" s="226"/>
      <c r="AD190" s="226"/>
      <c r="AE190" s="226"/>
      <c r="AF190" s="226"/>
      <c r="AG190" s="226"/>
      <c r="AH190" s="226"/>
      <c r="AI190" s="227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</row>
    <row r="191" spans="1:48" s="127" customFormat="1" ht="18" customHeight="1" thickBot="1" x14ac:dyDescent="0.35">
      <c r="A191" s="145" t="s">
        <v>363</v>
      </c>
      <c r="B191" s="144" t="s">
        <v>626</v>
      </c>
      <c r="C191" s="222">
        <v>5801</v>
      </c>
      <c r="D191" s="145"/>
      <c r="E191" s="198">
        <v>5801</v>
      </c>
      <c r="F191" s="198">
        <f t="shared" si="4"/>
        <v>5801</v>
      </c>
      <c r="G191" s="198">
        <f t="shared" si="5"/>
        <v>0</v>
      </c>
      <c r="H191" s="225"/>
      <c r="I191" s="226"/>
      <c r="J191" s="226"/>
      <c r="K191" s="226"/>
      <c r="L191" s="226"/>
      <c r="M191" s="226"/>
      <c r="N191" s="226"/>
      <c r="O191" s="226"/>
      <c r="P191" s="226"/>
      <c r="Q191" s="226" t="s">
        <v>659</v>
      </c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>
        <v>5801</v>
      </c>
      <c r="AG191" s="226"/>
      <c r="AH191" s="226"/>
      <c r="AI191" s="227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</row>
    <row r="192" spans="1:48" s="127" customFormat="1" ht="18" customHeight="1" thickBot="1" x14ac:dyDescent="0.35">
      <c r="A192" s="145" t="s">
        <v>371</v>
      </c>
      <c r="B192" s="144" t="s">
        <v>375</v>
      </c>
      <c r="C192" s="222">
        <v>0</v>
      </c>
      <c r="D192" s="145"/>
      <c r="E192" s="198">
        <v>163322</v>
      </c>
      <c r="F192" s="198">
        <f t="shared" si="4"/>
        <v>163322</v>
      </c>
      <c r="G192" s="198">
        <f t="shared" si="5"/>
        <v>0</v>
      </c>
      <c r="H192" s="225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>
        <v>4858</v>
      </c>
      <c r="U192" s="226"/>
      <c r="V192" s="226"/>
      <c r="W192" s="226"/>
      <c r="X192" s="226">
        <v>15496.72</v>
      </c>
      <c r="Y192" s="226">
        <v>3445.29</v>
      </c>
      <c r="Z192" s="226">
        <v>47835.08</v>
      </c>
      <c r="AA192" s="226">
        <v>7267.31</v>
      </c>
      <c r="AB192" s="226">
        <v>3233.29</v>
      </c>
      <c r="AC192" s="226">
        <v>3262.02</v>
      </c>
      <c r="AD192" s="226">
        <v>3694.29</v>
      </c>
      <c r="AE192" s="226">
        <v>22896.29</v>
      </c>
      <c r="AF192" s="226">
        <v>9600.5400000000009</v>
      </c>
      <c r="AG192" s="226"/>
      <c r="AH192" s="226"/>
      <c r="AI192" s="227"/>
      <c r="AJ192" s="228"/>
      <c r="AK192" s="306">
        <v>24479.84</v>
      </c>
      <c r="AL192" s="306">
        <v>17253.330000000002</v>
      </c>
      <c r="AM192" s="307"/>
      <c r="AN192" s="307"/>
      <c r="AO192" s="307"/>
      <c r="AP192" s="307"/>
      <c r="AQ192" s="307"/>
      <c r="AR192" s="307"/>
      <c r="AS192" s="307"/>
      <c r="AT192" s="307"/>
      <c r="AU192" s="228"/>
      <c r="AV192" s="228"/>
    </row>
    <row r="193" spans="1:48" s="127" customFormat="1" ht="18" customHeight="1" thickBot="1" x14ac:dyDescent="0.35">
      <c r="A193" s="145" t="s">
        <v>372</v>
      </c>
      <c r="B193" s="144" t="s">
        <v>627</v>
      </c>
      <c r="C193" s="222">
        <v>0</v>
      </c>
      <c r="D193" s="145"/>
      <c r="E193" s="198">
        <v>236486</v>
      </c>
      <c r="F193" s="198">
        <f t="shared" si="4"/>
        <v>236486</v>
      </c>
      <c r="G193" s="198">
        <f t="shared" si="5"/>
        <v>0</v>
      </c>
      <c r="H193" s="225"/>
      <c r="I193" s="226"/>
      <c r="J193" s="226"/>
      <c r="K193" s="226"/>
      <c r="L193" s="226">
        <v>4827</v>
      </c>
      <c r="M193" s="226">
        <v>14500</v>
      </c>
      <c r="N193" s="226">
        <v>1500</v>
      </c>
      <c r="O193" s="226">
        <v>7500</v>
      </c>
      <c r="P193" s="226">
        <v>11000</v>
      </c>
      <c r="Q193" s="226">
        <v>27000</v>
      </c>
      <c r="R193" s="226">
        <v>21000</v>
      </c>
      <c r="S193" s="226">
        <v>28000</v>
      </c>
      <c r="T193" s="226">
        <v>36000</v>
      </c>
      <c r="U193" s="226">
        <v>13132</v>
      </c>
      <c r="V193" s="226">
        <v>10584</v>
      </c>
      <c r="W193" s="226">
        <v>31566</v>
      </c>
      <c r="X193" s="226">
        <v>18611</v>
      </c>
      <c r="Y193" s="226">
        <v>691</v>
      </c>
      <c r="Z193" s="226">
        <v>3595</v>
      </c>
      <c r="AA193" s="226">
        <v>6980</v>
      </c>
      <c r="AB193" s="226"/>
      <c r="AC193" s="226"/>
      <c r="AD193" s="226"/>
      <c r="AE193" s="226"/>
      <c r="AF193" s="226"/>
      <c r="AG193" s="226"/>
      <c r="AH193" s="226"/>
      <c r="AI193" s="227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</row>
    <row r="194" spans="1:48" s="127" customFormat="1" ht="18" customHeight="1" thickBot="1" x14ac:dyDescent="0.35">
      <c r="A194" s="145" t="s">
        <v>373</v>
      </c>
      <c r="B194" s="144" t="s">
        <v>377</v>
      </c>
      <c r="C194" s="222">
        <v>0</v>
      </c>
      <c r="D194" s="145"/>
      <c r="E194" s="198">
        <v>30453</v>
      </c>
      <c r="F194" s="198">
        <f t="shared" si="4"/>
        <v>30453</v>
      </c>
      <c r="G194" s="198">
        <f t="shared" si="5"/>
        <v>0</v>
      </c>
      <c r="H194" s="225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>
        <f>(12482-639)+11611</f>
        <v>23454</v>
      </c>
      <c r="T194" s="226">
        <v>6999</v>
      </c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7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</row>
    <row r="195" spans="1:48" s="4" customFormat="1" ht="18" customHeight="1" thickBot="1" x14ac:dyDescent="0.35">
      <c r="A195" s="167"/>
      <c r="B195" s="168"/>
      <c r="C195" s="223"/>
      <c r="D195" s="142"/>
      <c r="E195" s="199"/>
      <c r="F195" s="199"/>
      <c r="G195" s="199"/>
      <c r="H195" s="229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2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</row>
    <row r="196" spans="1:48" s="54" customFormat="1" ht="18" customHeight="1" thickBot="1" x14ac:dyDescent="0.3">
      <c r="A196" s="121" t="s">
        <v>580</v>
      </c>
      <c r="B196" s="121"/>
      <c r="C196" s="224">
        <f>SUM(C12:C194)</f>
        <v>22192298</v>
      </c>
      <c r="D196" s="144"/>
      <c r="E196" s="200">
        <f t="shared" ref="E196:AV196" si="6">SUM(E12:E194)</f>
        <v>22192299</v>
      </c>
      <c r="F196" s="200">
        <f t="shared" si="6"/>
        <v>22192210.004999999</v>
      </c>
      <c r="G196" s="200">
        <f t="shared" si="6"/>
        <v>88.994999999995343</v>
      </c>
      <c r="H196" s="230">
        <f t="shared" si="6"/>
        <v>0</v>
      </c>
      <c r="I196" s="230">
        <f t="shared" si="6"/>
        <v>0</v>
      </c>
      <c r="J196" s="230">
        <f t="shared" si="6"/>
        <v>0</v>
      </c>
      <c r="K196" s="230">
        <f t="shared" si="6"/>
        <v>87097</v>
      </c>
      <c r="L196" s="230">
        <f t="shared" si="6"/>
        <v>448346</v>
      </c>
      <c r="M196" s="230">
        <f t="shared" si="6"/>
        <v>609378</v>
      </c>
      <c r="N196" s="230">
        <f t="shared" si="6"/>
        <v>1841459</v>
      </c>
      <c r="O196" s="230">
        <f t="shared" si="6"/>
        <v>1303354</v>
      </c>
      <c r="P196" s="230">
        <f t="shared" si="6"/>
        <v>1142726</v>
      </c>
      <c r="Q196" s="230">
        <f>SUM(Q12:Q194)</f>
        <v>1991225</v>
      </c>
      <c r="R196" s="230">
        <f t="shared" si="6"/>
        <v>1908352</v>
      </c>
      <c r="S196" s="230">
        <f t="shared" si="6"/>
        <v>3224304.5249999999</v>
      </c>
      <c r="T196" s="230">
        <f t="shared" si="6"/>
        <v>1603300.76</v>
      </c>
      <c r="U196" s="230">
        <f>SUM(U12:U194)</f>
        <v>534678.82000000007</v>
      </c>
      <c r="V196" s="230">
        <f t="shared" si="6"/>
        <v>713046.89999999991</v>
      </c>
      <c r="W196" s="230">
        <f t="shared" si="6"/>
        <v>1044644.02</v>
      </c>
      <c r="X196" s="230">
        <f t="shared" si="6"/>
        <v>1640629.3299999998</v>
      </c>
      <c r="Y196" s="230">
        <f t="shared" si="6"/>
        <v>942761.40999999992</v>
      </c>
      <c r="Z196" s="230">
        <f t="shared" si="6"/>
        <v>1555582.9200000002</v>
      </c>
      <c r="AA196" s="230">
        <f t="shared" si="6"/>
        <v>680472.28</v>
      </c>
      <c r="AB196" s="230">
        <f t="shared" si="6"/>
        <v>218380.22000000003</v>
      </c>
      <c r="AC196" s="230">
        <f t="shared" si="6"/>
        <v>158725.59</v>
      </c>
      <c r="AD196" s="230">
        <f t="shared" si="6"/>
        <v>244544.53999999998</v>
      </c>
      <c r="AE196" s="230">
        <f t="shared" si="6"/>
        <v>178063.7</v>
      </c>
      <c r="AF196" s="230">
        <f t="shared" si="6"/>
        <v>34297.06</v>
      </c>
      <c r="AG196" s="230">
        <f t="shared" si="6"/>
        <v>0</v>
      </c>
      <c r="AH196" s="230">
        <f t="shared" si="6"/>
        <v>192</v>
      </c>
      <c r="AI196" s="230">
        <f t="shared" si="6"/>
        <v>4306.29</v>
      </c>
      <c r="AJ196" s="230">
        <f t="shared" si="6"/>
        <v>5327.2</v>
      </c>
      <c r="AK196" s="230">
        <f t="shared" si="6"/>
        <v>25463.84</v>
      </c>
      <c r="AL196" s="230">
        <f t="shared" si="6"/>
        <v>20680.800000000003</v>
      </c>
      <c r="AM196" s="230">
        <f t="shared" si="6"/>
        <v>0</v>
      </c>
      <c r="AN196" s="230">
        <f t="shared" si="6"/>
        <v>5281.98</v>
      </c>
      <c r="AO196" s="230">
        <f t="shared" si="6"/>
        <v>11025.47</v>
      </c>
      <c r="AP196" s="230">
        <f t="shared" si="6"/>
        <v>14563.35</v>
      </c>
      <c r="AQ196" s="230">
        <f t="shared" si="6"/>
        <v>0</v>
      </c>
      <c r="AR196" s="230"/>
      <c r="AS196" s="230"/>
      <c r="AT196" s="230"/>
      <c r="AU196" s="230">
        <f t="shared" si="6"/>
        <v>0</v>
      </c>
      <c r="AV196" s="230">
        <f t="shared" si="6"/>
        <v>0</v>
      </c>
    </row>
    <row r="197" spans="1:48" s="9" customFormat="1" x14ac:dyDescent="0.25">
      <c r="A197" s="120"/>
      <c r="B197" s="120"/>
      <c r="C197" s="135"/>
      <c r="D197" s="142"/>
      <c r="M197" s="81"/>
    </row>
    <row r="198" spans="1:48" s="9" customFormat="1" x14ac:dyDescent="0.25">
      <c r="A198" s="120"/>
      <c r="B198" s="120"/>
      <c r="D198" s="142"/>
      <c r="K198" s="81"/>
      <c r="L198" s="81"/>
      <c r="M198" s="135"/>
      <c r="N198" s="81"/>
      <c r="O198" s="81"/>
      <c r="P198" s="81"/>
      <c r="Q198" s="81"/>
      <c r="R198" s="81"/>
      <c r="S198" s="81"/>
      <c r="T198" s="276"/>
      <c r="V198" s="81"/>
    </row>
    <row r="199" spans="1:48" s="9" customFormat="1" x14ac:dyDescent="0.25">
      <c r="A199" s="120"/>
      <c r="B199" s="120"/>
      <c r="D199" s="182"/>
      <c r="F199" s="250"/>
      <c r="J199" s="81"/>
      <c r="L199" s="81"/>
      <c r="N199" s="135"/>
      <c r="Q199" s="81"/>
      <c r="R199" s="81"/>
      <c r="S199" s="81"/>
      <c r="T199" s="81"/>
      <c r="U199" s="81"/>
    </row>
    <row r="200" spans="1:48" s="9" customFormat="1" x14ac:dyDescent="0.25">
      <c r="A200" s="120"/>
      <c r="B200" s="120"/>
      <c r="D200" s="5"/>
      <c r="F200" s="250"/>
      <c r="O200" s="250"/>
      <c r="P200" s="250"/>
    </row>
    <row r="201" spans="1:48" s="9" customFormat="1" x14ac:dyDescent="0.25">
      <c r="A201" s="120"/>
      <c r="B201" s="120"/>
      <c r="D201" s="5"/>
      <c r="R201" s="250"/>
      <c r="T201" s="250"/>
    </row>
    <row r="202" spans="1:48" s="9" customFormat="1" x14ac:dyDescent="0.25">
      <c r="A202" s="120"/>
      <c r="B202" s="120"/>
      <c r="D202" s="5"/>
    </row>
    <row r="203" spans="1:48" s="9" customFormat="1" x14ac:dyDescent="0.25">
      <c r="A203" s="120"/>
      <c r="B203" s="120"/>
      <c r="D203" s="5"/>
      <c r="F203" s="250"/>
    </row>
    <row r="204" spans="1:48" s="9" customFormat="1" x14ac:dyDescent="0.25">
      <c r="A204" s="120"/>
      <c r="B204" s="120"/>
      <c r="D204" s="5"/>
    </row>
    <row r="205" spans="1:48" s="9" customFormat="1" x14ac:dyDescent="0.25">
      <c r="A205" s="120"/>
      <c r="B205" s="120"/>
      <c r="D205" s="5"/>
    </row>
    <row r="206" spans="1:48" s="9" customFormat="1" x14ac:dyDescent="0.25">
      <c r="A206" s="120"/>
      <c r="B206" s="120"/>
      <c r="D206" s="5"/>
    </row>
    <row r="207" spans="1:48" s="9" customFormat="1" x14ac:dyDescent="0.25">
      <c r="A207" s="120"/>
      <c r="B207" s="120"/>
      <c r="D207" s="5"/>
    </row>
    <row r="208" spans="1:48" s="9" customFormat="1" x14ac:dyDescent="0.25">
      <c r="A208" s="120"/>
      <c r="B208" s="120"/>
      <c r="D208" s="5"/>
    </row>
    <row r="209" spans="1:4" s="9" customFormat="1" x14ac:dyDescent="0.25">
      <c r="A209" s="120"/>
      <c r="B209" s="120"/>
      <c r="D209" s="5"/>
    </row>
    <row r="210" spans="1:4" s="9" customFormat="1" x14ac:dyDescent="0.25">
      <c r="A210" s="120"/>
      <c r="B210" s="120"/>
      <c r="D210" s="5"/>
    </row>
    <row r="211" spans="1:4" s="9" customFormat="1" x14ac:dyDescent="0.25">
      <c r="A211" s="120"/>
      <c r="B211" s="120"/>
      <c r="D211" s="5"/>
    </row>
    <row r="212" spans="1:4" s="9" customFormat="1" x14ac:dyDescent="0.25">
      <c r="A212" s="120"/>
      <c r="B212" s="120"/>
      <c r="D212" s="5"/>
    </row>
    <row r="213" spans="1:4" s="9" customFormat="1" x14ac:dyDescent="0.25">
      <c r="A213" s="120"/>
      <c r="B213" s="120"/>
      <c r="D213" s="5"/>
    </row>
    <row r="214" spans="1:4" s="9" customFormat="1" x14ac:dyDescent="0.25">
      <c r="A214" s="120"/>
      <c r="B214" s="120"/>
      <c r="D214" s="5"/>
    </row>
    <row r="215" spans="1:4" s="9" customFormat="1" x14ac:dyDescent="0.25">
      <c r="A215" s="120"/>
      <c r="B215" s="120"/>
      <c r="D215" s="5"/>
    </row>
    <row r="216" spans="1:4" s="9" customFormat="1" x14ac:dyDescent="0.25">
      <c r="A216" s="120"/>
      <c r="B216" s="120"/>
      <c r="D216" s="5"/>
    </row>
    <row r="217" spans="1:4" s="9" customFormat="1" x14ac:dyDescent="0.25">
      <c r="A217" s="120"/>
      <c r="B217" s="120"/>
      <c r="D217" s="5"/>
    </row>
    <row r="218" spans="1:4" s="9" customFormat="1" x14ac:dyDescent="0.25">
      <c r="A218" s="120"/>
      <c r="B218" s="120"/>
      <c r="D218" s="5"/>
    </row>
    <row r="219" spans="1:4" s="9" customFormat="1" x14ac:dyDescent="0.25">
      <c r="A219" s="120"/>
      <c r="B219" s="120"/>
      <c r="D219" s="5"/>
    </row>
    <row r="220" spans="1:4" s="9" customFormat="1" x14ac:dyDescent="0.25">
      <c r="A220" s="120"/>
      <c r="B220" s="120"/>
      <c r="D220" s="5"/>
    </row>
    <row r="221" spans="1:4" s="9" customFormat="1" x14ac:dyDescent="0.25">
      <c r="A221" s="120"/>
      <c r="B221" s="120"/>
      <c r="D221" s="5"/>
    </row>
    <row r="222" spans="1:4" s="9" customFormat="1" x14ac:dyDescent="0.25">
      <c r="A222" s="120"/>
      <c r="B222" s="120"/>
      <c r="D222" s="5"/>
    </row>
    <row r="223" spans="1:4" s="9" customFormat="1" x14ac:dyDescent="0.25">
      <c r="A223" s="120"/>
      <c r="B223" s="120"/>
      <c r="D223" s="5"/>
    </row>
    <row r="224" spans="1:4" x14ac:dyDescent="0.25">
      <c r="D224" s="6"/>
    </row>
    <row r="225" spans="4:4" x14ac:dyDescent="0.25">
      <c r="D225" s="6"/>
    </row>
  </sheetData>
  <sheetProtection algorithmName="SHA-512" hashValue="NERkZEGRBBZN/0Yj+h9FaLRa/+pg+TTnQRcD3BWEdFBqsz823VclRNAE4auOhEobrirG4d27tpCAKsw9a+Y/Bw==" saltValue="wZHl4MNaAkRyZSoOKTnClQ==" spinCount="100000" sheet="1" objects="1" scenarios="1"/>
  <autoFilter ref="A11:BA194" xr:uid="{00000000-0009-0000-0000-000004000000}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66CCFF"/>
  </sheetPr>
  <dimension ref="A1:BG223"/>
  <sheetViews>
    <sheetView zoomScaleNormal="100" workbookViewId="0">
      <pane xSplit="7" ySplit="11" topLeftCell="AT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P198" sqref="AP198:AQ198"/>
    </sheetView>
  </sheetViews>
  <sheetFormatPr defaultColWidth="9.140625" defaultRowHeight="15.75" x14ac:dyDescent="0.25"/>
  <cols>
    <col min="1" max="1" width="9.140625" style="1"/>
    <col min="2" max="2" width="33.85546875" style="136" bestFit="1" customWidth="1"/>
    <col min="3" max="3" width="16.42578125" style="11" customWidth="1"/>
    <col min="4" max="4" width="20" style="6" customWidth="1"/>
    <col min="5" max="5" width="22.140625" style="11" customWidth="1"/>
    <col min="6" max="6" width="15.7109375" style="11" customWidth="1"/>
    <col min="7" max="7" width="17" style="11" customWidth="1"/>
    <col min="8" max="23" width="15.7109375" style="1" customWidth="1"/>
    <col min="24" max="24" width="15.7109375" style="292" customWidth="1"/>
    <col min="25" max="34" width="15.7109375" style="1" customWidth="1"/>
    <col min="35" max="37" width="16.28515625" style="1" customWidth="1"/>
    <col min="38" max="47" width="15.7109375" style="142" customWidth="1"/>
    <col min="48" max="16384" width="9.140625" style="1"/>
  </cols>
  <sheetData>
    <row r="1" spans="1:47" ht="21" x14ac:dyDescent="0.35">
      <c r="A1" s="83" t="s">
        <v>0</v>
      </c>
      <c r="B1" s="134"/>
      <c r="C1" s="128" t="s">
        <v>387</v>
      </c>
      <c r="D1" s="132"/>
      <c r="E1" s="128"/>
      <c r="F1" s="29"/>
      <c r="G1" s="30"/>
      <c r="H1" s="25"/>
      <c r="I1" s="25"/>
      <c r="J1" s="128" t="str">
        <f>C1</f>
        <v>Title III-A Formula</v>
      </c>
      <c r="K1" s="128"/>
      <c r="L1" s="83"/>
      <c r="M1" s="83"/>
      <c r="N1" s="86"/>
      <c r="O1" s="86"/>
      <c r="P1" s="128" t="str">
        <f>C1</f>
        <v>Title III-A Formula</v>
      </c>
      <c r="Q1" s="25"/>
      <c r="R1" s="128"/>
      <c r="S1" s="128"/>
      <c r="T1" s="83"/>
      <c r="U1" s="83"/>
      <c r="V1" s="128" t="str">
        <f>C1</f>
        <v>Title III-A Formula</v>
      </c>
      <c r="W1" s="86"/>
      <c r="X1" s="289"/>
      <c r="Y1" s="25"/>
      <c r="Z1" s="128"/>
      <c r="AA1" s="128"/>
      <c r="AB1" s="128" t="str">
        <f>C1</f>
        <v>Title III-A Formula</v>
      </c>
      <c r="AC1" s="83"/>
      <c r="AD1" s="86"/>
      <c r="AE1" s="86"/>
      <c r="AF1" s="25"/>
      <c r="AG1" s="128" t="str">
        <f>C1</f>
        <v>Title III-A Formula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</row>
    <row r="2" spans="1:47" x14ac:dyDescent="0.25">
      <c r="A2" s="88" t="s">
        <v>1</v>
      </c>
      <c r="B2" s="134"/>
      <c r="C2" s="89" t="s">
        <v>386</v>
      </c>
      <c r="D2" s="173"/>
      <c r="E2" s="89"/>
      <c r="F2" s="23"/>
      <c r="G2" s="24"/>
      <c r="H2" s="25"/>
      <c r="I2" s="25"/>
      <c r="J2" s="88" t="str">
        <f>"FY"&amp;C4</f>
        <v>FY2018-2019</v>
      </c>
      <c r="K2" s="88"/>
      <c r="L2" s="129"/>
      <c r="M2" s="129"/>
      <c r="N2" s="90"/>
      <c r="O2" s="90"/>
      <c r="P2" s="88" t="str">
        <f>"FY"&amp;C4</f>
        <v>FY2018-2019</v>
      </c>
      <c r="Q2" s="90"/>
      <c r="R2" s="88"/>
      <c r="S2" s="88"/>
      <c r="T2" s="129"/>
      <c r="U2" s="129"/>
      <c r="V2" s="88" t="str">
        <f>"FY"&amp;C4</f>
        <v>FY2018-2019</v>
      </c>
      <c r="W2" s="90"/>
      <c r="X2" s="90"/>
      <c r="Y2" s="90"/>
      <c r="Z2" s="88"/>
      <c r="AA2" s="88"/>
      <c r="AB2" s="88" t="str">
        <f>"FY"&amp;C4</f>
        <v>FY2018-2019</v>
      </c>
      <c r="AC2" s="129"/>
      <c r="AD2" s="90"/>
      <c r="AE2" s="90"/>
      <c r="AF2" s="90"/>
      <c r="AG2" s="88" t="str">
        <f>"FY"&amp;C4</f>
        <v>FY2018-2019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7" x14ac:dyDescent="0.25">
      <c r="A3" s="88" t="s">
        <v>3</v>
      </c>
      <c r="B3" s="134"/>
      <c r="C3" s="129">
        <v>4365</v>
      </c>
      <c r="D3" s="132"/>
      <c r="E3" s="129"/>
      <c r="F3" s="23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89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</row>
    <row r="4" spans="1:47" ht="21" x14ac:dyDescent="0.35">
      <c r="A4" s="88" t="s">
        <v>2</v>
      </c>
      <c r="B4" s="134"/>
      <c r="C4" s="128" t="str">
        <f>'ESSA Title I-A Formula'!$C$4</f>
        <v>2018-2019</v>
      </c>
      <c r="D4" s="132"/>
      <c r="E4" s="128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89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</row>
    <row r="5" spans="1:47" x14ac:dyDescent="0.25">
      <c r="A5" s="88" t="s">
        <v>397</v>
      </c>
      <c r="B5" s="134"/>
      <c r="C5" s="74" t="s">
        <v>660</v>
      </c>
      <c r="D5" s="132"/>
      <c r="E5" s="74"/>
      <c r="F5" s="23"/>
      <c r="G5" s="26"/>
      <c r="H5" s="92"/>
      <c r="I5" s="92"/>
      <c r="J5" s="92"/>
      <c r="K5" s="9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90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</row>
    <row r="6" spans="1:47" x14ac:dyDescent="0.25">
      <c r="A6" s="88" t="s">
        <v>4</v>
      </c>
      <c r="B6" s="134"/>
      <c r="C6" s="74" t="s">
        <v>365</v>
      </c>
      <c r="D6" s="132"/>
      <c r="E6" s="74"/>
      <c r="F6" s="23"/>
      <c r="G6" s="26"/>
      <c r="H6" s="92"/>
      <c r="I6" s="92"/>
      <c r="J6" s="92"/>
      <c r="K6" s="9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9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</row>
    <row r="7" spans="1:47" x14ac:dyDescent="0.25">
      <c r="A7" s="88"/>
      <c r="B7" s="134"/>
      <c r="C7" s="129"/>
      <c r="D7" s="132"/>
      <c r="E7" s="129"/>
      <c r="F7" s="23"/>
      <c r="G7" s="26"/>
      <c r="H7" s="92"/>
      <c r="I7" s="92"/>
      <c r="J7" s="92"/>
      <c r="K7" s="9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90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</row>
    <row r="8" spans="1:47" x14ac:dyDescent="0.25">
      <c r="A8" s="88" t="s">
        <v>379</v>
      </c>
      <c r="B8" s="134"/>
      <c r="C8" s="129" t="s">
        <v>604</v>
      </c>
      <c r="D8" s="132"/>
      <c r="E8" s="129"/>
      <c r="F8" s="24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9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x14ac:dyDescent="0.25">
      <c r="A9" s="88" t="s">
        <v>380</v>
      </c>
      <c r="B9" s="134"/>
      <c r="C9" s="129" t="s">
        <v>381</v>
      </c>
      <c r="D9" s="132"/>
      <c r="E9" s="129"/>
      <c r="F9" s="24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9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ht="16.5" thickBot="1" x14ac:dyDescent="0.3">
      <c r="A10" s="88" t="s">
        <v>398</v>
      </c>
      <c r="B10" s="125"/>
      <c r="C10" s="88" t="s">
        <v>661</v>
      </c>
      <c r="D10" s="132"/>
      <c r="E10" s="88"/>
      <c r="F10" s="24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9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</row>
    <row r="11" spans="1:47" s="10" customFormat="1" ht="32.25" thickBot="1" x14ac:dyDescent="0.3">
      <c r="A11" s="44" t="s">
        <v>366</v>
      </c>
      <c r="B11" s="94" t="s">
        <v>367</v>
      </c>
      <c r="C11" s="94" t="s">
        <v>368</v>
      </c>
      <c r="D11" s="114" t="s">
        <v>655</v>
      </c>
      <c r="E11" s="48" t="s">
        <v>646</v>
      </c>
      <c r="F11" s="46" t="s">
        <v>369</v>
      </c>
      <c r="G11" s="31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291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671</v>
      </c>
      <c r="AU11" s="107" t="s">
        <v>653</v>
      </c>
    </row>
    <row r="12" spans="1:47" s="127" customFormat="1" ht="18" customHeight="1" thickBot="1" x14ac:dyDescent="0.35">
      <c r="A12" s="145" t="s">
        <v>7</v>
      </c>
      <c r="B12" s="139" t="s">
        <v>185</v>
      </c>
      <c r="C12" s="233">
        <v>180836</v>
      </c>
      <c r="D12" s="145"/>
      <c r="E12" s="233">
        <v>180836</v>
      </c>
      <c r="F12" s="233">
        <f>SUM(H12:AU12)</f>
        <v>180836</v>
      </c>
      <c r="G12" s="233">
        <f>E12-(F12+AL12+AM12)</f>
        <v>0</v>
      </c>
      <c r="H12" s="288"/>
      <c r="I12" s="293"/>
      <c r="J12" s="293"/>
      <c r="K12" s="293"/>
      <c r="L12" s="293"/>
      <c r="M12" s="297"/>
      <c r="N12" s="293"/>
      <c r="O12" s="293"/>
      <c r="P12" s="298"/>
      <c r="Q12" s="293"/>
      <c r="R12" s="293">
        <v>3843</v>
      </c>
      <c r="S12" s="293">
        <v>8117</v>
      </c>
      <c r="T12" s="293">
        <v>9621</v>
      </c>
      <c r="U12" s="293"/>
      <c r="V12" s="293">
        <v>15956.69</v>
      </c>
      <c r="W12" s="293">
        <v>9485.83</v>
      </c>
      <c r="X12" s="288">
        <v>12174.49</v>
      </c>
      <c r="Y12" s="226"/>
      <c r="Z12" s="226">
        <v>4866.04</v>
      </c>
      <c r="AA12" s="226">
        <v>34792.47</v>
      </c>
      <c r="AB12" s="226">
        <v>27833.98</v>
      </c>
      <c r="AC12" s="226">
        <v>11514.39</v>
      </c>
      <c r="AD12" s="226">
        <v>11514.18</v>
      </c>
      <c r="AE12" s="226">
        <v>11514.74</v>
      </c>
      <c r="AF12" s="226">
        <v>19602.189999999999</v>
      </c>
      <c r="AG12" s="226"/>
      <c r="AH12" s="226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</row>
    <row r="13" spans="1:47" s="127" customFormat="1" ht="18" customHeight="1" thickBot="1" x14ac:dyDescent="0.35">
      <c r="A13" s="145" t="s">
        <v>8</v>
      </c>
      <c r="B13" s="139" t="s">
        <v>186</v>
      </c>
      <c r="C13" s="233">
        <v>494637</v>
      </c>
      <c r="D13" s="145"/>
      <c r="E13" s="233">
        <v>494637</v>
      </c>
      <c r="F13" s="233">
        <f t="shared" ref="F13:F76" si="0">SUM(H13:AU13)</f>
        <v>494637</v>
      </c>
      <c r="G13" s="233">
        <f t="shared" ref="G13:G76" si="1">E13-(F13+AL13+AM13)</f>
        <v>0</v>
      </c>
      <c r="H13" s="288"/>
      <c r="I13" s="293"/>
      <c r="J13" s="293"/>
      <c r="K13" s="293"/>
      <c r="L13" s="293"/>
      <c r="M13" s="293"/>
      <c r="N13" s="293">
        <f>104903+258012-171559</f>
        <v>191356</v>
      </c>
      <c r="O13" s="293"/>
      <c r="P13" s="293">
        <v>22245</v>
      </c>
      <c r="Q13" s="293">
        <v>24467</v>
      </c>
      <c r="R13" s="293">
        <v>38476</v>
      </c>
      <c r="S13" s="293">
        <v>40396</v>
      </c>
      <c r="T13" s="293"/>
      <c r="U13" s="293">
        <f>64331+40090</f>
        <v>104421</v>
      </c>
      <c r="V13" s="293">
        <v>45722</v>
      </c>
      <c r="W13" s="293"/>
      <c r="X13" s="288">
        <v>1015.55</v>
      </c>
      <c r="Y13" s="226">
        <v>26538.45</v>
      </c>
      <c r="Z13" s="226"/>
      <c r="AA13" s="226"/>
      <c r="AB13" s="226"/>
      <c r="AC13" s="226"/>
      <c r="AD13" s="226"/>
      <c r="AE13" s="226"/>
      <c r="AF13" s="226"/>
      <c r="AG13" s="226"/>
      <c r="AH13" s="226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</row>
    <row r="14" spans="1:47" s="127" customFormat="1" ht="18" customHeight="1" thickBot="1" x14ac:dyDescent="0.35">
      <c r="A14" s="145" t="s">
        <v>9</v>
      </c>
      <c r="B14" s="139" t="s">
        <v>187</v>
      </c>
      <c r="C14" s="233">
        <v>242854</v>
      </c>
      <c r="D14" s="145"/>
      <c r="E14" s="233">
        <v>242854</v>
      </c>
      <c r="F14" s="233">
        <f t="shared" si="0"/>
        <v>242854</v>
      </c>
      <c r="G14" s="233">
        <f t="shared" si="1"/>
        <v>0</v>
      </c>
      <c r="H14" s="288"/>
      <c r="I14" s="293"/>
      <c r="J14" s="293"/>
      <c r="K14" s="293"/>
      <c r="L14" s="293"/>
      <c r="M14" s="293"/>
      <c r="N14" s="293"/>
      <c r="O14" s="293"/>
      <c r="P14" s="293">
        <v>7667</v>
      </c>
      <c r="Q14" s="293">
        <v>19245</v>
      </c>
      <c r="R14" s="293">
        <v>28425</v>
      </c>
      <c r="S14" s="293">
        <v>19246</v>
      </c>
      <c r="T14" s="293">
        <v>19245</v>
      </c>
      <c r="U14" s="293">
        <v>39937</v>
      </c>
      <c r="V14" s="293"/>
      <c r="W14" s="293"/>
      <c r="X14" s="288"/>
      <c r="Y14" s="226"/>
      <c r="Z14" s="226">
        <v>81087.08</v>
      </c>
      <c r="AA14" s="226">
        <v>24288.52</v>
      </c>
      <c r="AB14" s="226">
        <v>3713.4</v>
      </c>
      <c r="AC14" s="226"/>
      <c r="AD14" s="226"/>
      <c r="AE14" s="226"/>
      <c r="AF14" s="226"/>
      <c r="AG14" s="226"/>
      <c r="AH14" s="226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</row>
    <row r="15" spans="1:47" s="127" customFormat="1" ht="18" customHeight="1" thickBot="1" x14ac:dyDescent="0.35">
      <c r="A15" s="145" t="s">
        <v>10</v>
      </c>
      <c r="B15" s="139" t="s">
        <v>188</v>
      </c>
      <c r="C15" s="233">
        <v>160300</v>
      </c>
      <c r="D15" s="145"/>
      <c r="E15" s="233">
        <v>160300</v>
      </c>
      <c r="F15" s="233">
        <f t="shared" si="0"/>
        <v>160300</v>
      </c>
      <c r="G15" s="233">
        <f t="shared" si="1"/>
        <v>0</v>
      </c>
      <c r="H15" s="288"/>
      <c r="I15" s="293"/>
      <c r="J15" s="293"/>
      <c r="K15" s="293"/>
      <c r="L15" s="293"/>
      <c r="M15" s="293"/>
      <c r="N15" s="293">
        <v>16038</v>
      </c>
      <c r="O15" s="293"/>
      <c r="P15" s="293"/>
      <c r="Q15" s="293">
        <v>31412</v>
      </c>
      <c r="R15" s="293"/>
      <c r="S15" s="293">
        <f>35353+10206</f>
        <v>45559</v>
      </c>
      <c r="T15" s="293"/>
      <c r="U15" s="293"/>
      <c r="V15" s="293"/>
      <c r="W15" s="293">
        <v>13073</v>
      </c>
      <c r="X15" s="288"/>
      <c r="Y15" s="226"/>
      <c r="Z15" s="226">
        <v>41431</v>
      </c>
      <c r="AA15" s="226"/>
      <c r="AB15" s="226">
        <v>12787</v>
      </c>
      <c r="AC15" s="226"/>
      <c r="AD15" s="226"/>
      <c r="AE15" s="226"/>
      <c r="AF15" s="226"/>
      <c r="AG15" s="226"/>
      <c r="AH15" s="226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</row>
    <row r="16" spans="1:47" s="127" customFormat="1" ht="18" customHeight="1" thickBot="1" x14ac:dyDescent="0.35">
      <c r="A16" s="145" t="s">
        <v>11</v>
      </c>
      <c r="B16" s="139" t="s">
        <v>189</v>
      </c>
      <c r="C16" s="233">
        <v>8379</v>
      </c>
      <c r="D16" s="145">
        <v>9025</v>
      </c>
      <c r="E16" s="233">
        <v>0</v>
      </c>
      <c r="F16" s="233">
        <f t="shared" si="0"/>
        <v>0</v>
      </c>
      <c r="G16" s="233">
        <f t="shared" si="1"/>
        <v>0</v>
      </c>
      <c r="H16" s="288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88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</row>
    <row r="17" spans="1:47" s="127" customFormat="1" ht="18" customHeight="1" thickBot="1" x14ac:dyDescent="0.35">
      <c r="A17" s="145" t="s">
        <v>12</v>
      </c>
      <c r="B17" s="139" t="s">
        <v>190</v>
      </c>
      <c r="C17" s="233">
        <v>4876</v>
      </c>
      <c r="D17" s="145">
        <v>9025</v>
      </c>
      <c r="E17" s="233">
        <v>0</v>
      </c>
      <c r="F17" s="233">
        <f t="shared" si="0"/>
        <v>0</v>
      </c>
      <c r="G17" s="233">
        <f t="shared" si="1"/>
        <v>0</v>
      </c>
      <c r="H17" s="288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88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</row>
    <row r="18" spans="1:47" s="127" customFormat="1" ht="18" customHeight="1" thickBot="1" x14ac:dyDescent="0.35">
      <c r="A18" s="145" t="s">
        <v>13</v>
      </c>
      <c r="B18" s="139" t="s">
        <v>191</v>
      </c>
      <c r="C18" s="233">
        <v>248280</v>
      </c>
      <c r="D18" s="145"/>
      <c r="E18" s="233">
        <v>248280</v>
      </c>
      <c r="F18" s="233">
        <f t="shared" si="0"/>
        <v>248280</v>
      </c>
      <c r="G18" s="233">
        <f t="shared" si="1"/>
        <v>0</v>
      </c>
      <c r="H18" s="288"/>
      <c r="I18" s="293"/>
      <c r="J18" s="293"/>
      <c r="K18" s="293"/>
      <c r="L18" s="293"/>
      <c r="M18" s="293"/>
      <c r="N18" s="293"/>
      <c r="O18" s="293">
        <f>17469</f>
        <v>17469</v>
      </c>
      <c r="P18" s="293">
        <v>20359</v>
      </c>
      <c r="Q18" s="293"/>
      <c r="R18" s="293">
        <f>20357+21581</f>
        <v>41938</v>
      </c>
      <c r="S18" s="293">
        <v>20362</v>
      </c>
      <c r="T18" s="293"/>
      <c r="U18" s="293">
        <v>21216.18</v>
      </c>
      <c r="V18" s="293">
        <v>22516.58</v>
      </c>
      <c r="W18" s="293">
        <f>19872.62+11115.28</f>
        <v>30987.9</v>
      </c>
      <c r="X18" s="288"/>
      <c r="Y18" s="226">
        <v>19003.900000000001</v>
      </c>
      <c r="Z18" s="226">
        <v>33767.39</v>
      </c>
      <c r="AA18" s="226">
        <f>13692.26+6967.79</f>
        <v>20660.05</v>
      </c>
      <c r="AB18" s="226"/>
      <c r="AC18" s="226"/>
      <c r="AD18" s="226"/>
      <c r="AE18" s="226"/>
      <c r="AF18" s="226"/>
      <c r="AG18" s="226"/>
      <c r="AH18" s="226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</row>
    <row r="19" spans="1:47" s="127" customFormat="1" ht="18" customHeight="1" thickBot="1" x14ac:dyDescent="0.35">
      <c r="A19" s="145" t="s">
        <v>14</v>
      </c>
      <c r="B19" s="139" t="s">
        <v>192</v>
      </c>
      <c r="C19" s="233">
        <v>23008</v>
      </c>
      <c r="D19" s="145"/>
      <c r="E19" s="233">
        <v>23008</v>
      </c>
      <c r="F19" s="233">
        <f t="shared" si="0"/>
        <v>23008</v>
      </c>
      <c r="G19" s="233">
        <f t="shared" si="1"/>
        <v>0</v>
      </c>
      <c r="H19" s="288"/>
      <c r="I19" s="293"/>
      <c r="J19" s="293"/>
      <c r="K19" s="293"/>
      <c r="L19" s="293"/>
      <c r="M19" s="293"/>
      <c r="N19" s="293"/>
      <c r="O19" s="293"/>
      <c r="P19" s="293">
        <v>1409</v>
      </c>
      <c r="Q19" s="293">
        <v>1671</v>
      </c>
      <c r="R19" s="293">
        <v>506</v>
      </c>
      <c r="S19" s="293">
        <v>3165</v>
      </c>
      <c r="T19" s="293">
        <v>589</v>
      </c>
      <c r="U19" s="293">
        <v>357</v>
      </c>
      <c r="V19" s="293">
        <v>357</v>
      </c>
      <c r="W19" s="293">
        <v>516.91999999999996</v>
      </c>
      <c r="X19" s="288">
        <v>590.04</v>
      </c>
      <c r="Y19" s="226"/>
      <c r="Z19" s="226">
        <f>1741.52+2130.81</f>
        <v>3872.33</v>
      </c>
      <c r="AA19" s="226">
        <v>1357.48</v>
      </c>
      <c r="AB19" s="226">
        <v>2040.01</v>
      </c>
      <c r="AC19" s="226">
        <v>1392.95</v>
      </c>
      <c r="AD19" s="226">
        <v>2601.75</v>
      </c>
      <c r="AE19" s="226">
        <v>2053.66</v>
      </c>
      <c r="AF19" s="226">
        <v>528.86</v>
      </c>
      <c r="AG19" s="226"/>
      <c r="AH19" s="226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</row>
    <row r="20" spans="1:47" s="127" customFormat="1" ht="18" customHeight="1" thickBot="1" x14ac:dyDescent="0.35">
      <c r="A20" s="145" t="s">
        <v>15</v>
      </c>
      <c r="B20" s="139" t="s">
        <v>193</v>
      </c>
      <c r="C20" s="233">
        <v>1236</v>
      </c>
      <c r="D20" s="145">
        <v>9055</v>
      </c>
      <c r="E20" s="233">
        <v>0</v>
      </c>
      <c r="F20" s="233">
        <f t="shared" si="0"/>
        <v>0</v>
      </c>
      <c r="G20" s="233">
        <f t="shared" si="1"/>
        <v>0</v>
      </c>
      <c r="H20" s="288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88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</row>
    <row r="21" spans="1:47" s="127" customFormat="1" ht="18" customHeight="1" thickBot="1" x14ac:dyDescent="0.35">
      <c r="A21" s="145" t="s">
        <v>16</v>
      </c>
      <c r="B21" s="139" t="s">
        <v>194</v>
      </c>
      <c r="C21" s="233">
        <v>22390</v>
      </c>
      <c r="D21" s="145"/>
      <c r="E21" s="233">
        <v>22390</v>
      </c>
      <c r="F21" s="233">
        <f t="shared" si="0"/>
        <v>22390</v>
      </c>
      <c r="G21" s="233">
        <f t="shared" si="1"/>
        <v>0</v>
      </c>
      <c r="H21" s="288"/>
      <c r="I21" s="293"/>
      <c r="J21" s="293"/>
      <c r="K21" s="293"/>
      <c r="L21" s="293"/>
      <c r="M21" s="293"/>
      <c r="N21" s="293">
        <v>578</v>
      </c>
      <c r="O21" s="293">
        <v>1072</v>
      </c>
      <c r="P21" s="293">
        <v>1072</v>
      </c>
      <c r="Q21" s="293">
        <v>1072</v>
      </c>
      <c r="R21" s="293">
        <v>1072</v>
      </c>
      <c r="S21" s="293">
        <v>2430</v>
      </c>
      <c r="T21" s="293">
        <v>4650</v>
      </c>
      <c r="U21" s="293">
        <v>312</v>
      </c>
      <c r="V21" s="293"/>
      <c r="W21" s="293"/>
      <c r="X21" s="288"/>
      <c r="Y21" s="226">
        <v>1538</v>
      </c>
      <c r="Z21" s="226"/>
      <c r="AA21" s="226"/>
      <c r="AB21" s="226"/>
      <c r="AC21" s="226"/>
      <c r="AD21" s="226">
        <v>5911</v>
      </c>
      <c r="AE21" s="226">
        <v>501</v>
      </c>
      <c r="AF21" s="226">
        <v>2182</v>
      </c>
      <c r="AG21" s="226"/>
      <c r="AH21" s="226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</row>
    <row r="22" spans="1:47" s="127" customFormat="1" ht="18" customHeight="1" thickBot="1" x14ac:dyDescent="0.35">
      <c r="A22" s="145" t="s">
        <v>17</v>
      </c>
      <c r="B22" s="139" t="s">
        <v>195</v>
      </c>
      <c r="C22" s="233">
        <v>32623</v>
      </c>
      <c r="D22" s="145"/>
      <c r="E22" s="233">
        <v>32623</v>
      </c>
      <c r="F22" s="233">
        <f t="shared" si="0"/>
        <v>32623</v>
      </c>
      <c r="G22" s="233">
        <f t="shared" si="1"/>
        <v>0</v>
      </c>
      <c r="H22" s="288"/>
      <c r="I22" s="293"/>
      <c r="J22" s="293"/>
      <c r="K22" s="293"/>
      <c r="L22" s="293"/>
      <c r="M22" s="293"/>
      <c r="N22" s="293"/>
      <c r="O22" s="293"/>
      <c r="P22" s="293"/>
      <c r="Q22" s="293">
        <v>20251</v>
      </c>
      <c r="R22" s="293"/>
      <c r="S22" s="293">
        <v>2549</v>
      </c>
      <c r="T22" s="293"/>
      <c r="U22" s="293">
        <v>7663.37</v>
      </c>
      <c r="V22" s="293">
        <v>2159.63</v>
      </c>
      <c r="W22" s="293"/>
      <c r="X22" s="288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</row>
    <row r="23" spans="1:47" s="127" customFormat="1" ht="18" customHeight="1" thickBot="1" x14ac:dyDescent="0.35">
      <c r="A23" s="145" t="s">
        <v>18</v>
      </c>
      <c r="B23" s="139" t="s">
        <v>196</v>
      </c>
      <c r="C23" s="233">
        <v>415723</v>
      </c>
      <c r="D23" s="145"/>
      <c r="E23" s="233">
        <v>415723</v>
      </c>
      <c r="F23" s="233">
        <f t="shared" si="0"/>
        <v>415722.99999999994</v>
      </c>
      <c r="G23" s="233">
        <f t="shared" si="1"/>
        <v>0</v>
      </c>
      <c r="H23" s="288"/>
      <c r="I23" s="293"/>
      <c r="J23" s="293"/>
      <c r="K23" s="293"/>
      <c r="L23" s="293"/>
      <c r="M23" s="299"/>
      <c r="N23" s="293"/>
      <c r="O23" s="293"/>
      <c r="P23" s="293"/>
      <c r="Q23" s="293">
        <v>16125</v>
      </c>
      <c r="R23" s="293">
        <v>33437</v>
      </c>
      <c r="S23" s="293">
        <v>55814</v>
      </c>
      <c r="T23" s="293"/>
      <c r="U23" s="293">
        <v>31146.32</v>
      </c>
      <c r="V23" s="293">
        <v>10588.08</v>
      </c>
      <c r="W23" s="293"/>
      <c r="X23" s="288"/>
      <c r="Y23" s="226"/>
      <c r="Z23" s="226">
        <f>52594.77+61568.09+75785.54</f>
        <v>189948.39999999997</v>
      </c>
      <c r="AA23" s="226">
        <v>44017.78</v>
      </c>
      <c r="AB23" s="226">
        <v>34646.42</v>
      </c>
      <c r="AC23" s="226"/>
      <c r="AD23" s="226"/>
      <c r="AE23" s="226"/>
      <c r="AF23" s="226"/>
      <c r="AG23" s="226"/>
      <c r="AH23" s="226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</row>
    <row r="24" spans="1:47" s="127" customFormat="1" ht="18" customHeight="1" thickBot="1" x14ac:dyDescent="0.35">
      <c r="A24" s="145" t="s">
        <v>19</v>
      </c>
      <c r="B24" s="139" t="s">
        <v>197</v>
      </c>
      <c r="C24" s="233">
        <v>44436</v>
      </c>
      <c r="D24" s="145"/>
      <c r="E24" s="233">
        <v>44436</v>
      </c>
      <c r="F24" s="233">
        <f t="shared" si="0"/>
        <v>44436</v>
      </c>
      <c r="G24" s="233">
        <f t="shared" si="1"/>
        <v>0</v>
      </c>
      <c r="H24" s="288"/>
      <c r="I24" s="293"/>
      <c r="J24" s="293"/>
      <c r="K24" s="293"/>
      <c r="L24" s="293">
        <v>4536</v>
      </c>
      <c r="M24" s="293">
        <v>2795</v>
      </c>
      <c r="N24" s="293">
        <v>5063</v>
      </c>
      <c r="O24" s="293">
        <v>6162</v>
      </c>
      <c r="P24" s="293">
        <v>3263</v>
      </c>
      <c r="Q24" s="293"/>
      <c r="R24" s="293">
        <f>1417+11982</f>
        <v>13399</v>
      </c>
      <c r="S24" s="293">
        <v>2717</v>
      </c>
      <c r="T24" s="293">
        <v>3877</v>
      </c>
      <c r="U24" s="293"/>
      <c r="V24" s="293"/>
      <c r="W24" s="293">
        <v>2624</v>
      </c>
      <c r="X24" s="288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8"/>
      <c r="AJ24" s="228"/>
      <c r="AK24" s="228"/>
      <c r="AL24" s="306"/>
      <c r="AM24" s="228"/>
      <c r="AN24" s="228"/>
      <c r="AO24" s="228"/>
      <c r="AP24" s="228"/>
      <c r="AQ24" s="228"/>
      <c r="AR24" s="228"/>
      <c r="AS24" s="228"/>
      <c r="AT24" s="228"/>
      <c r="AU24" s="228"/>
    </row>
    <row r="25" spans="1:47" s="127" customFormat="1" ht="18" customHeight="1" thickBot="1" x14ac:dyDescent="0.35">
      <c r="A25" s="145" t="s">
        <v>20</v>
      </c>
      <c r="B25" s="139" t="s">
        <v>198</v>
      </c>
      <c r="C25" s="233">
        <v>2198</v>
      </c>
      <c r="D25" s="145">
        <v>9025</v>
      </c>
      <c r="E25" s="233">
        <v>0</v>
      </c>
      <c r="F25" s="233">
        <f t="shared" si="0"/>
        <v>0</v>
      </c>
      <c r="G25" s="233">
        <f t="shared" si="1"/>
        <v>0</v>
      </c>
      <c r="H25" s="288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88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</row>
    <row r="26" spans="1:47" s="127" customFormat="1" ht="18" customHeight="1" thickBot="1" x14ac:dyDescent="0.35">
      <c r="A26" s="145" t="s">
        <v>21</v>
      </c>
      <c r="B26" s="139" t="s">
        <v>199</v>
      </c>
      <c r="C26" s="233">
        <v>1096416</v>
      </c>
      <c r="D26" s="145"/>
      <c r="E26" s="233">
        <v>1096416</v>
      </c>
      <c r="F26" s="233">
        <f t="shared" si="0"/>
        <v>1096416</v>
      </c>
      <c r="G26" s="233">
        <f t="shared" si="1"/>
        <v>0</v>
      </c>
      <c r="H26" s="288"/>
      <c r="I26" s="293"/>
      <c r="J26" s="293"/>
      <c r="K26" s="293"/>
      <c r="L26" s="293"/>
      <c r="M26" s="293"/>
      <c r="N26" s="293">
        <v>141929</v>
      </c>
      <c r="O26" s="293">
        <v>92901</v>
      </c>
      <c r="P26" s="293">
        <v>78434</v>
      </c>
      <c r="Q26" s="293">
        <v>77537</v>
      </c>
      <c r="R26" s="293">
        <v>77255</v>
      </c>
      <c r="S26" s="293">
        <v>77121</v>
      </c>
      <c r="T26" s="293"/>
      <c r="U26" s="293"/>
      <c r="V26" s="293"/>
      <c r="W26" s="293">
        <v>149434</v>
      </c>
      <c r="X26" s="288">
        <v>299652.27</v>
      </c>
      <c r="Y26" s="226"/>
      <c r="Z26" s="226">
        <v>102152.73</v>
      </c>
      <c r="AA26" s="226"/>
      <c r="AB26" s="226"/>
      <c r="AC26" s="226"/>
      <c r="AD26" s="226"/>
      <c r="AE26" s="226"/>
      <c r="AF26" s="226"/>
      <c r="AG26" s="226"/>
      <c r="AH26" s="226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</row>
    <row r="27" spans="1:47" s="127" customFormat="1" ht="18" customHeight="1" thickBot="1" x14ac:dyDescent="0.35">
      <c r="A27" s="145" t="s">
        <v>22</v>
      </c>
      <c r="B27" s="139" t="s">
        <v>200</v>
      </c>
      <c r="C27" s="233">
        <v>33722</v>
      </c>
      <c r="D27" s="145"/>
      <c r="E27" s="233">
        <v>33722</v>
      </c>
      <c r="F27" s="233">
        <f t="shared" si="0"/>
        <v>33722</v>
      </c>
      <c r="G27" s="233">
        <f t="shared" si="1"/>
        <v>0</v>
      </c>
      <c r="H27" s="288"/>
      <c r="I27" s="293"/>
      <c r="J27" s="293"/>
      <c r="K27" s="293"/>
      <c r="L27" s="293"/>
      <c r="M27" s="293"/>
      <c r="N27" s="293">
        <v>2743</v>
      </c>
      <c r="O27" s="293">
        <v>732</v>
      </c>
      <c r="P27" s="293">
        <v>5426</v>
      </c>
      <c r="Q27" s="293">
        <v>4577</v>
      </c>
      <c r="R27" s="293">
        <v>20244</v>
      </c>
      <c r="S27" s="293"/>
      <c r="T27" s="293"/>
      <c r="U27" s="293"/>
      <c r="V27" s="293"/>
      <c r="W27" s="293"/>
      <c r="X27" s="288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</row>
    <row r="28" spans="1:47" s="127" customFormat="1" ht="18" customHeight="1" thickBot="1" x14ac:dyDescent="0.35">
      <c r="A28" s="145" t="s">
        <v>23</v>
      </c>
      <c r="B28" s="139" t="s">
        <v>201</v>
      </c>
      <c r="C28" s="233">
        <v>8104</v>
      </c>
      <c r="D28" s="145">
        <v>2180</v>
      </c>
      <c r="E28" s="233">
        <v>0</v>
      </c>
      <c r="F28" s="233">
        <f t="shared" si="0"/>
        <v>0</v>
      </c>
      <c r="G28" s="233">
        <f t="shared" si="1"/>
        <v>0</v>
      </c>
      <c r="H28" s="288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88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</row>
    <row r="29" spans="1:47" s="127" customFormat="1" ht="18" customHeight="1" thickBot="1" x14ac:dyDescent="0.35">
      <c r="A29" s="145" t="s">
        <v>24</v>
      </c>
      <c r="B29" s="139" t="s">
        <v>202</v>
      </c>
      <c r="C29" s="233">
        <v>206</v>
      </c>
      <c r="D29" s="145">
        <v>9075</v>
      </c>
      <c r="E29" s="233">
        <v>0</v>
      </c>
      <c r="F29" s="233">
        <f t="shared" si="0"/>
        <v>0</v>
      </c>
      <c r="G29" s="233">
        <f t="shared" si="1"/>
        <v>0</v>
      </c>
      <c r="H29" s="288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88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</row>
    <row r="30" spans="1:47" s="127" customFormat="1" ht="18" customHeight="1" thickBot="1" x14ac:dyDescent="0.35">
      <c r="A30" s="145" t="s">
        <v>25</v>
      </c>
      <c r="B30" s="139" t="s">
        <v>203</v>
      </c>
      <c r="C30" s="233">
        <v>0</v>
      </c>
      <c r="D30" s="145" t="s">
        <v>406</v>
      </c>
      <c r="E30" s="233">
        <v>0</v>
      </c>
      <c r="F30" s="233">
        <f t="shared" si="0"/>
        <v>0</v>
      </c>
      <c r="G30" s="233">
        <f t="shared" si="1"/>
        <v>0</v>
      </c>
      <c r="H30" s="288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88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</row>
    <row r="31" spans="1:47" s="127" customFormat="1" ht="18" customHeight="1" thickBot="1" x14ac:dyDescent="0.35">
      <c r="A31" s="145" t="s">
        <v>26</v>
      </c>
      <c r="B31" s="139" t="s">
        <v>204</v>
      </c>
      <c r="C31" s="233">
        <v>206</v>
      </c>
      <c r="D31" s="145">
        <v>9075</v>
      </c>
      <c r="E31" s="233">
        <v>0</v>
      </c>
      <c r="F31" s="233">
        <f t="shared" si="0"/>
        <v>0</v>
      </c>
      <c r="G31" s="233">
        <f t="shared" si="1"/>
        <v>0</v>
      </c>
      <c r="H31" s="288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88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</row>
    <row r="32" spans="1:47" s="127" customFormat="1" ht="18" customHeight="1" thickBot="1" x14ac:dyDescent="0.35">
      <c r="A32" s="145" t="s">
        <v>27</v>
      </c>
      <c r="B32" s="139" t="s">
        <v>205</v>
      </c>
      <c r="C32" s="233">
        <v>69</v>
      </c>
      <c r="D32" s="145">
        <v>9075</v>
      </c>
      <c r="E32" s="233">
        <v>0</v>
      </c>
      <c r="F32" s="233">
        <f t="shared" si="0"/>
        <v>0</v>
      </c>
      <c r="G32" s="233">
        <f t="shared" si="1"/>
        <v>0</v>
      </c>
      <c r="H32" s="288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88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</row>
    <row r="33" spans="1:47" s="127" customFormat="1" ht="18" customHeight="1" thickBot="1" x14ac:dyDescent="0.35">
      <c r="A33" s="145" t="s">
        <v>28</v>
      </c>
      <c r="B33" s="139" t="s">
        <v>206</v>
      </c>
      <c r="C33" s="233">
        <v>0</v>
      </c>
      <c r="D33" s="145"/>
      <c r="E33" s="233">
        <v>0</v>
      </c>
      <c r="F33" s="233">
        <f t="shared" si="0"/>
        <v>0</v>
      </c>
      <c r="G33" s="233">
        <f t="shared" si="1"/>
        <v>0</v>
      </c>
      <c r="H33" s="288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88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</row>
    <row r="34" spans="1:47" s="127" customFormat="1" ht="18" customHeight="1" thickBot="1" x14ac:dyDescent="0.35">
      <c r="A34" s="145" t="s">
        <v>29</v>
      </c>
      <c r="B34" s="139" t="s">
        <v>207</v>
      </c>
      <c r="C34" s="233">
        <v>1030</v>
      </c>
      <c r="D34" s="145" t="s">
        <v>406</v>
      </c>
      <c r="E34" s="233">
        <v>0</v>
      </c>
      <c r="F34" s="233">
        <f t="shared" si="0"/>
        <v>0</v>
      </c>
      <c r="G34" s="233">
        <f t="shared" si="1"/>
        <v>0</v>
      </c>
      <c r="H34" s="288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88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</row>
    <row r="35" spans="1:47" s="127" customFormat="1" ht="18" customHeight="1" thickBot="1" x14ac:dyDescent="0.35">
      <c r="A35" s="145" t="s">
        <v>30</v>
      </c>
      <c r="B35" s="139" t="s">
        <v>208</v>
      </c>
      <c r="C35" s="233">
        <v>1786</v>
      </c>
      <c r="D35" s="145" t="s">
        <v>406</v>
      </c>
      <c r="E35" s="233">
        <v>0</v>
      </c>
      <c r="F35" s="233">
        <f t="shared" si="0"/>
        <v>0</v>
      </c>
      <c r="G35" s="233">
        <f t="shared" si="1"/>
        <v>0</v>
      </c>
      <c r="H35" s="288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88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</row>
    <row r="36" spans="1:47" s="127" customFormat="1" ht="18" customHeight="1" thickBot="1" x14ac:dyDescent="0.35">
      <c r="A36" s="145" t="s">
        <v>31</v>
      </c>
      <c r="B36" s="139" t="s">
        <v>209</v>
      </c>
      <c r="C36" s="233">
        <v>304186</v>
      </c>
      <c r="D36" s="145"/>
      <c r="E36" s="233">
        <v>304186</v>
      </c>
      <c r="F36" s="233">
        <f t="shared" si="0"/>
        <v>304186</v>
      </c>
      <c r="G36" s="233">
        <f t="shared" si="1"/>
        <v>0</v>
      </c>
      <c r="H36" s="288"/>
      <c r="I36" s="293"/>
      <c r="J36" s="293"/>
      <c r="K36" s="293"/>
      <c r="L36" s="293"/>
      <c r="M36" s="293"/>
      <c r="N36" s="293"/>
      <c r="O36" s="293"/>
      <c r="P36" s="293"/>
      <c r="Q36" s="293">
        <v>126022</v>
      </c>
      <c r="R36" s="293"/>
      <c r="S36" s="293">
        <v>64615</v>
      </c>
      <c r="T36" s="293">
        <v>23488</v>
      </c>
      <c r="U36" s="293"/>
      <c r="V36" s="293"/>
      <c r="W36" s="293">
        <v>44718.64</v>
      </c>
      <c r="X36" s="288"/>
      <c r="Y36" s="226"/>
      <c r="Z36" s="226">
        <v>45342.36</v>
      </c>
      <c r="AA36" s="226"/>
      <c r="AB36" s="226"/>
      <c r="AC36" s="226"/>
      <c r="AD36" s="226"/>
      <c r="AE36" s="226"/>
      <c r="AF36" s="226"/>
      <c r="AG36" s="226"/>
      <c r="AH36" s="226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</row>
    <row r="37" spans="1:47" s="127" customFormat="1" ht="18" customHeight="1" thickBot="1" x14ac:dyDescent="0.35">
      <c r="A37" s="145" t="s">
        <v>32</v>
      </c>
      <c r="B37" s="139" t="s">
        <v>210</v>
      </c>
      <c r="C37" s="233">
        <v>207553</v>
      </c>
      <c r="D37" s="145"/>
      <c r="E37" s="233">
        <v>207553</v>
      </c>
      <c r="F37" s="233">
        <f t="shared" si="0"/>
        <v>207553</v>
      </c>
      <c r="G37" s="233">
        <f t="shared" si="1"/>
        <v>0</v>
      </c>
      <c r="H37" s="288"/>
      <c r="I37" s="293"/>
      <c r="J37" s="293"/>
      <c r="K37" s="293"/>
      <c r="L37" s="293">
        <f>22319+16143</f>
        <v>38462</v>
      </c>
      <c r="M37" s="293">
        <v>22060</v>
      </c>
      <c r="N37" s="293"/>
      <c r="O37" s="293">
        <v>9818</v>
      </c>
      <c r="P37" s="293"/>
      <c r="Q37" s="293">
        <f>14915+14815</f>
        <v>29730</v>
      </c>
      <c r="R37" s="293">
        <v>23286</v>
      </c>
      <c r="S37" s="293">
        <v>22199</v>
      </c>
      <c r="T37" s="293"/>
      <c r="U37" s="293">
        <v>6009</v>
      </c>
      <c r="V37" s="293">
        <v>6449</v>
      </c>
      <c r="W37" s="293"/>
      <c r="X37" s="288"/>
      <c r="Y37" s="226">
        <v>6286.24</v>
      </c>
      <c r="Z37" s="226">
        <v>8169.6</v>
      </c>
      <c r="AA37" s="226">
        <v>1399.78</v>
      </c>
      <c r="AB37" s="226">
        <v>7019.29</v>
      </c>
      <c r="AC37" s="226">
        <v>26665.09</v>
      </c>
      <c r="AD37" s="226"/>
      <c r="AE37" s="226"/>
      <c r="AF37" s="226"/>
      <c r="AG37" s="226"/>
      <c r="AH37" s="226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</row>
    <row r="38" spans="1:47" s="127" customFormat="1" ht="18" customHeight="1" thickBot="1" x14ac:dyDescent="0.35">
      <c r="A38" s="145" t="s">
        <v>33</v>
      </c>
      <c r="B38" s="139" t="s">
        <v>211</v>
      </c>
      <c r="C38" s="233">
        <v>893</v>
      </c>
      <c r="D38" s="145" t="s">
        <v>645</v>
      </c>
      <c r="E38" s="233">
        <v>0</v>
      </c>
      <c r="F38" s="233">
        <f t="shared" si="0"/>
        <v>0</v>
      </c>
      <c r="G38" s="233">
        <f t="shared" si="1"/>
        <v>0</v>
      </c>
      <c r="H38" s="288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88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</row>
    <row r="39" spans="1:47" s="127" customFormat="1" ht="18" customHeight="1" thickBot="1" x14ac:dyDescent="0.35">
      <c r="A39" s="145" t="s">
        <v>34</v>
      </c>
      <c r="B39" s="139" t="s">
        <v>212</v>
      </c>
      <c r="C39" s="233">
        <v>1580</v>
      </c>
      <c r="D39" s="145">
        <v>9055</v>
      </c>
      <c r="E39" s="233">
        <v>0</v>
      </c>
      <c r="F39" s="233">
        <f t="shared" si="0"/>
        <v>0</v>
      </c>
      <c r="G39" s="233">
        <f t="shared" si="1"/>
        <v>0</v>
      </c>
      <c r="H39" s="288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88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</row>
    <row r="40" spans="1:47" s="127" customFormat="1" ht="18" customHeight="1" thickBot="1" x14ac:dyDescent="0.35">
      <c r="A40" s="145" t="s">
        <v>35</v>
      </c>
      <c r="B40" s="139" t="s">
        <v>213</v>
      </c>
      <c r="C40" s="233">
        <v>206</v>
      </c>
      <c r="D40" s="145" t="s">
        <v>371</v>
      </c>
      <c r="E40" s="233">
        <v>0</v>
      </c>
      <c r="F40" s="233">
        <f t="shared" si="0"/>
        <v>0</v>
      </c>
      <c r="G40" s="233">
        <f t="shared" si="1"/>
        <v>0</v>
      </c>
      <c r="H40" s="288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88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</row>
    <row r="41" spans="1:47" s="127" customFormat="1" ht="18" customHeight="1" thickBot="1" x14ac:dyDescent="0.35">
      <c r="A41" s="145" t="s">
        <v>36</v>
      </c>
      <c r="B41" s="139" t="s">
        <v>214</v>
      </c>
      <c r="C41" s="233">
        <v>137</v>
      </c>
      <c r="D41" s="145" t="s">
        <v>371</v>
      </c>
      <c r="E41" s="233">
        <v>0</v>
      </c>
      <c r="F41" s="233">
        <f t="shared" si="0"/>
        <v>0</v>
      </c>
      <c r="G41" s="233">
        <f t="shared" si="1"/>
        <v>0</v>
      </c>
      <c r="H41" s="288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88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</row>
    <row r="42" spans="1:47" s="127" customFormat="1" ht="18" customHeight="1" thickBot="1" x14ac:dyDescent="0.35">
      <c r="A42" s="145" t="s">
        <v>37</v>
      </c>
      <c r="B42" s="139" t="s">
        <v>215</v>
      </c>
      <c r="C42" s="233">
        <v>412</v>
      </c>
      <c r="D42" s="145" t="s">
        <v>645</v>
      </c>
      <c r="E42" s="233">
        <v>0</v>
      </c>
      <c r="F42" s="233">
        <f t="shared" si="0"/>
        <v>0</v>
      </c>
      <c r="G42" s="233">
        <f t="shared" si="1"/>
        <v>0</v>
      </c>
      <c r="H42" s="288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88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</row>
    <row r="43" spans="1:47" s="127" customFormat="1" ht="18" customHeight="1" thickBot="1" x14ac:dyDescent="0.35">
      <c r="A43" s="145" t="s">
        <v>38</v>
      </c>
      <c r="B43" s="139" t="s">
        <v>216</v>
      </c>
      <c r="C43" s="233">
        <v>0</v>
      </c>
      <c r="D43" s="145"/>
      <c r="E43" s="233">
        <v>0</v>
      </c>
      <c r="F43" s="233">
        <f t="shared" si="0"/>
        <v>0</v>
      </c>
      <c r="G43" s="233">
        <f t="shared" si="1"/>
        <v>0</v>
      </c>
      <c r="H43" s="288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88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</row>
    <row r="44" spans="1:47" s="127" customFormat="1" ht="18" customHeight="1" thickBot="1" x14ac:dyDescent="0.35">
      <c r="A44" s="145" t="s">
        <v>39</v>
      </c>
      <c r="B44" s="139" t="s">
        <v>217</v>
      </c>
      <c r="C44" s="233">
        <v>275</v>
      </c>
      <c r="D44" s="145" t="s">
        <v>405</v>
      </c>
      <c r="E44" s="233">
        <v>0</v>
      </c>
      <c r="F44" s="233">
        <f t="shared" si="0"/>
        <v>0</v>
      </c>
      <c r="G44" s="233">
        <f t="shared" si="1"/>
        <v>0</v>
      </c>
      <c r="H44" s="288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88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</row>
    <row r="45" spans="1:47" s="127" customFormat="1" ht="18" customHeight="1" thickBot="1" x14ac:dyDescent="0.35">
      <c r="A45" s="145" t="s">
        <v>40</v>
      </c>
      <c r="B45" s="139" t="s">
        <v>218</v>
      </c>
      <c r="C45" s="233">
        <v>1648</v>
      </c>
      <c r="D45" s="145" t="s">
        <v>405</v>
      </c>
      <c r="E45" s="233">
        <v>0</v>
      </c>
      <c r="F45" s="233">
        <f t="shared" si="0"/>
        <v>0</v>
      </c>
      <c r="G45" s="233">
        <f t="shared" si="1"/>
        <v>0</v>
      </c>
      <c r="H45" s="288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88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</row>
    <row r="46" spans="1:47" s="127" customFormat="1" ht="18" customHeight="1" thickBot="1" x14ac:dyDescent="0.35">
      <c r="A46" s="145" t="s">
        <v>41</v>
      </c>
      <c r="B46" s="139" t="s">
        <v>219</v>
      </c>
      <c r="C46" s="233">
        <v>412</v>
      </c>
      <c r="D46" s="145" t="s">
        <v>405</v>
      </c>
      <c r="E46" s="233">
        <v>0</v>
      </c>
      <c r="F46" s="233">
        <f t="shared" si="0"/>
        <v>0</v>
      </c>
      <c r="G46" s="233">
        <f t="shared" si="1"/>
        <v>0</v>
      </c>
      <c r="H46" s="288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88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</row>
    <row r="47" spans="1:47" s="127" customFormat="1" ht="18" customHeight="1" thickBot="1" x14ac:dyDescent="0.35">
      <c r="A47" s="145" t="s">
        <v>42</v>
      </c>
      <c r="B47" s="139" t="s">
        <v>220</v>
      </c>
      <c r="C47" s="233">
        <v>2129</v>
      </c>
      <c r="D47" s="145" t="s">
        <v>405</v>
      </c>
      <c r="E47" s="233">
        <v>0</v>
      </c>
      <c r="F47" s="233">
        <f t="shared" si="0"/>
        <v>0</v>
      </c>
      <c r="G47" s="233">
        <f t="shared" si="1"/>
        <v>0</v>
      </c>
      <c r="H47" s="288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88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</row>
    <row r="48" spans="1:47" s="127" customFormat="1" ht="18" customHeight="1" thickBot="1" x14ac:dyDescent="0.35">
      <c r="A48" s="145" t="s">
        <v>43</v>
      </c>
      <c r="B48" s="139" t="s">
        <v>221</v>
      </c>
      <c r="C48" s="233">
        <v>137</v>
      </c>
      <c r="D48" s="145" t="s">
        <v>406</v>
      </c>
      <c r="E48" s="233">
        <v>0</v>
      </c>
      <c r="F48" s="233">
        <f t="shared" si="0"/>
        <v>0</v>
      </c>
      <c r="G48" s="233">
        <f t="shared" si="1"/>
        <v>0</v>
      </c>
      <c r="H48" s="288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88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</row>
    <row r="49" spans="1:47" s="127" customFormat="1" ht="18" customHeight="1" thickBot="1" x14ac:dyDescent="0.35">
      <c r="A49" s="145" t="s">
        <v>44</v>
      </c>
      <c r="B49" s="139" t="s">
        <v>448</v>
      </c>
      <c r="C49" s="233">
        <v>0</v>
      </c>
      <c r="D49" s="145"/>
      <c r="E49" s="233">
        <v>0</v>
      </c>
      <c r="F49" s="233">
        <f t="shared" si="0"/>
        <v>0</v>
      </c>
      <c r="G49" s="233">
        <f t="shared" si="1"/>
        <v>0</v>
      </c>
      <c r="H49" s="288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88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</row>
    <row r="50" spans="1:47" s="127" customFormat="1" ht="18" customHeight="1" thickBot="1" x14ac:dyDescent="0.35">
      <c r="A50" s="145" t="s">
        <v>45</v>
      </c>
      <c r="B50" s="139" t="s">
        <v>223</v>
      </c>
      <c r="C50" s="233">
        <v>19231</v>
      </c>
      <c r="D50" s="145"/>
      <c r="E50" s="233">
        <v>19231</v>
      </c>
      <c r="F50" s="233">
        <f t="shared" si="0"/>
        <v>19231</v>
      </c>
      <c r="G50" s="233">
        <f t="shared" si="1"/>
        <v>0</v>
      </c>
      <c r="H50" s="288"/>
      <c r="I50" s="293"/>
      <c r="J50" s="293"/>
      <c r="K50" s="293"/>
      <c r="L50" s="293"/>
      <c r="M50" s="293"/>
      <c r="N50" s="293"/>
      <c r="O50" s="293">
        <v>4381</v>
      </c>
      <c r="P50" s="293">
        <v>2282</v>
      </c>
      <c r="Q50" s="293">
        <v>2224</v>
      </c>
      <c r="R50" s="293">
        <v>2287</v>
      </c>
      <c r="S50" s="293">
        <v>2287</v>
      </c>
      <c r="T50" s="293"/>
      <c r="U50" s="293"/>
      <c r="V50" s="293"/>
      <c r="W50" s="293">
        <v>4567</v>
      </c>
      <c r="X50" s="288"/>
      <c r="Y50" s="226"/>
      <c r="Z50" s="226"/>
      <c r="AA50" s="226"/>
      <c r="AB50" s="226">
        <v>1203</v>
      </c>
      <c r="AC50" s="226"/>
      <c r="AD50" s="226"/>
      <c r="AE50" s="226"/>
      <c r="AF50" s="226"/>
      <c r="AG50" s="226"/>
      <c r="AH50" s="226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</row>
    <row r="51" spans="1:47" s="127" customFormat="1" ht="18" customHeight="1" thickBot="1" x14ac:dyDescent="0.35">
      <c r="A51" s="145" t="s">
        <v>46</v>
      </c>
      <c r="B51" s="139" t="s">
        <v>224</v>
      </c>
      <c r="C51" s="233">
        <v>2104234</v>
      </c>
      <c r="D51" s="145"/>
      <c r="E51" s="233">
        <v>2104234</v>
      </c>
      <c r="F51" s="233">
        <f t="shared" si="0"/>
        <v>2104234</v>
      </c>
      <c r="G51" s="233">
        <f t="shared" si="1"/>
        <v>0</v>
      </c>
      <c r="H51" s="288"/>
      <c r="I51" s="293"/>
      <c r="J51" s="293"/>
      <c r="K51" s="293"/>
      <c r="L51" s="293"/>
      <c r="M51" s="293"/>
      <c r="N51" s="293">
        <v>111673</v>
      </c>
      <c r="O51" s="293">
        <v>92860</v>
      </c>
      <c r="P51" s="293"/>
      <c r="Q51" s="293">
        <f>99719+220796</f>
        <v>320515</v>
      </c>
      <c r="R51" s="293">
        <v>180451</v>
      </c>
      <c r="S51" s="293">
        <v>205404</v>
      </c>
      <c r="T51" s="293">
        <v>169621</v>
      </c>
      <c r="U51" s="293"/>
      <c r="V51" s="293"/>
      <c r="W51" s="293"/>
      <c r="X51" s="288">
        <v>300976.92</v>
      </c>
      <c r="Y51" s="226"/>
      <c r="Z51" s="226">
        <v>248130.89</v>
      </c>
      <c r="AA51" s="226">
        <v>434533.9</v>
      </c>
      <c r="AB51" s="226"/>
      <c r="AC51" s="226"/>
      <c r="AD51" s="226"/>
      <c r="AE51" s="226">
        <v>40068.29</v>
      </c>
      <c r="AF51" s="226"/>
      <c r="AG51" s="226"/>
      <c r="AH51" s="226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</row>
    <row r="52" spans="1:47" s="127" customFormat="1" ht="18" customHeight="1" thickBot="1" x14ac:dyDescent="0.35">
      <c r="A52" s="145" t="s">
        <v>47</v>
      </c>
      <c r="B52" s="139" t="s">
        <v>225</v>
      </c>
      <c r="C52" s="233">
        <v>0</v>
      </c>
      <c r="D52" s="145"/>
      <c r="E52" s="233">
        <v>0</v>
      </c>
      <c r="F52" s="233">
        <f t="shared" si="0"/>
        <v>0</v>
      </c>
      <c r="G52" s="233">
        <f t="shared" si="1"/>
        <v>0</v>
      </c>
      <c r="H52" s="288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88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</row>
    <row r="53" spans="1:47" s="127" customFormat="1" ht="18" customHeight="1" thickBot="1" x14ac:dyDescent="0.35">
      <c r="A53" s="145" t="s">
        <v>48</v>
      </c>
      <c r="B53" s="139" t="s">
        <v>226</v>
      </c>
      <c r="C53" s="233">
        <v>244640</v>
      </c>
      <c r="D53" s="145"/>
      <c r="E53" s="233">
        <f>244640+C55</f>
        <v>246632</v>
      </c>
      <c r="F53" s="233">
        <f t="shared" si="0"/>
        <v>246632</v>
      </c>
      <c r="G53" s="233">
        <f t="shared" si="1"/>
        <v>0</v>
      </c>
      <c r="H53" s="288"/>
      <c r="I53" s="293"/>
      <c r="J53" s="293"/>
      <c r="K53" s="293"/>
      <c r="L53" s="293">
        <v>28493</v>
      </c>
      <c r="M53" s="293">
        <v>29475</v>
      </c>
      <c r="N53" s="293">
        <v>30905</v>
      </c>
      <c r="O53" s="293">
        <v>11657</v>
      </c>
      <c r="P53" s="293">
        <v>8592</v>
      </c>
      <c r="Q53" s="293">
        <v>8441</v>
      </c>
      <c r="R53" s="293">
        <v>9024</v>
      </c>
      <c r="S53" s="293">
        <v>59099</v>
      </c>
      <c r="T53" s="293">
        <v>30013</v>
      </c>
      <c r="U53" s="293"/>
      <c r="V53" s="293"/>
      <c r="W53" s="293">
        <f>856+26643.44</f>
        <v>27499.439999999999</v>
      </c>
      <c r="X53" s="288"/>
      <c r="Y53" s="226">
        <v>3433.56</v>
      </c>
      <c r="Z53" s="226"/>
      <c r="AA53" s="226"/>
      <c r="AB53" s="226"/>
      <c r="AC53" s="226"/>
      <c r="AD53" s="226"/>
      <c r="AE53" s="226"/>
      <c r="AF53" s="226"/>
      <c r="AG53" s="226"/>
      <c r="AH53" s="226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</row>
    <row r="54" spans="1:47" s="127" customFormat="1" ht="18" customHeight="1" thickBot="1" x14ac:dyDescent="0.35">
      <c r="A54" s="145" t="s">
        <v>49</v>
      </c>
      <c r="B54" s="139" t="s">
        <v>227</v>
      </c>
      <c r="C54" s="233">
        <v>149517</v>
      </c>
      <c r="D54" s="145"/>
      <c r="E54" s="233">
        <v>149517</v>
      </c>
      <c r="F54" s="233">
        <f t="shared" si="0"/>
        <v>149517</v>
      </c>
      <c r="G54" s="233">
        <f t="shared" si="1"/>
        <v>0</v>
      </c>
      <c r="H54" s="288"/>
      <c r="I54" s="293"/>
      <c r="J54" s="293"/>
      <c r="K54" s="293"/>
      <c r="L54" s="293"/>
      <c r="M54" s="293"/>
      <c r="N54" s="293">
        <v>50346</v>
      </c>
      <c r="O54" s="293">
        <v>17388</v>
      </c>
      <c r="P54" s="293"/>
      <c r="Q54" s="293"/>
      <c r="R54" s="293">
        <v>19609</v>
      </c>
      <c r="S54" s="293">
        <v>35399</v>
      </c>
      <c r="T54" s="293"/>
      <c r="U54" s="293"/>
      <c r="V54" s="293">
        <v>21425.72</v>
      </c>
      <c r="W54" s="293">
        <v>4624.28</v>
      </c>
      <c r="X54" s="288"/>
      <c r="Y54" s="226"/>
      <c r="Z54" s="226">
        <v>725</v>
      </c>
      <c r="AA54" s="226"/>
      <c r="AB54" s="226"/>
      <c r="AC54" s="226"/>
      <c r="AD54" s="226"/>
      <c r="AE54" s="226"/>
      <c r="AF54" s="226"/>
      <c r="AG54" s="226"/>
      <c r="AH54" s="226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</row>
    <row r="55" spans="1:47" s="127" customFormat="1" ht="18" customHeight="1" thickBot="1" x14ac:dyDescent="0.35">
      <c r="A55" s="145" t="s">
        <v>50</v>
      </c>
      <c r="B55" s="139" t="s">
        <v>228</v>
      </c>
      <c r="C55" s="233">
        <v>1992</v>
      </c>
      <c r="D55" s="145" t="s">
        <v>48</v>
      </c>
      <c r="E55" s="233">
        <v>0</v>
      </c>
      <c r="F55" s="233">
        <f t="shared" si="0"/>
        <v>0</v>
      </c>
      <c r="G55" s="233">
        <f t="shared" si="1"/>
        <v>0</v>
      </c>
      <c r="H55" s="288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88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</row>
    <row r="56" spans="1:47" s="127" customFormat="1" ht="18" customHeight="1" thickBot="1" x14ac:dyDescent="0.35">
      <c r="A56" s="145" t="s">
        <v>51</v>
      </c>
      <c r="B56" s="139" t="s">
        <v>229</v>
      </c>
      <c r="C56" s="233">
        <v>343</v>
      </c>
      <c r="D56" s="145" t="s">
        <v>371</v>
      </c>
      <c r="E56" s="233">
        <v>0</v>
      </c>
      <c r="F56" s="233">
        <f t="shared" si="0"/>
        <v>0</v>
      </c>
      <c r="G56" s="233">
        <f t="shared" si="1"/>
        <v>0</v>
      </c>
      <c r="H56" s="288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88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</row>
    <row r="57" spans="1:47" s="127" customFormat="1" ht="18" customHeight="1" thickBot="1" x14ac:dyDescent="0.35">
      <c r="A57" s="145" t="s">
        <v>52</v>
      </c>
      <c r="B57" s="139" t="s">
        <v>230</v>
      </c>
      <c r="C57" s="233">
        <v>69</v>
      </c>
      <c r="D57" s="145" t="s">
        <v>371</v>
      </c>
      <c r="E57" s="233">
        <v>0</v>
      </c>
      <c r="F57" s="233">
        <f t="shared" si="0"/>
        <v>0</v>
      </c>
      <c r="G57" s="233">
        <f t="shared" si="1"/>
        <v>0</v>
      </c>
      <c r="H57" s="288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88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</row>
    <row r="58" spans="1:47" s="127" customFormat="1" ht="18" customHeight="1" thickBot="1" x14ac:dyDescent="0.35">
      <c r="A58" s="145" t="s">
        <v>53</v>
      </c>
      <c r="B58" s="139" t="s">
        <v>231</v>
      </c>
      <c r="C58" s="233">
        <v>0</v>
      </c>
      <c r="D58" s="145" t="s">
        <v>645</v>
      </c>
      <c r="E58" s="233">
        <v>0</v>
      </c>
      <c r="F58" s="233">
        <f t="shared" si="0"/>
        <v>0</v>
      </c>
      <c r="G58" s="233">
        <f t="shared" si="1"/>
        <v>0</v>
      </c>
      <c r="H58" s="288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88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</row>
    <row r="59" spans="1:47" s="127" customFormat="1" ht="18" customHeight="1" thickBot="1" x14ac:dyDescent="0.35">
      <c r="A59" s="145" t="s">
        <v>54</v>
      </c>
      <c r="B59" s="139" t="s">
        <v>232</v>
      </c>
      <c r="C59" s="233">
        <v>137</v>
      </c>
      <c r="D59" s="145" t="s">
        <v>371</v>
      </c>
      <c r="E59" s="233">
        <v>0</v>
      </c>
      <c r="F59" s="233">
        <f t="shared" si="0"/>
        <v>0</v>
      </c>
      <c r="G59" s="233">
        <f t="shared" si="1"/>
        <v>0</v>
      </c>
      <c r="H59" s="288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88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</row>
    <row r="60" spans="1:47" s="127" customFormat="1" ht="18" customHeight="1" thickBot="1" x14ac:dyDescent="0.35">
      <c r="A60" s="145" t="s">
        <v>55</v>
      </c>
      <c r="B60" s="139" t="s">
        <v>233</v>
      </c>
      <c r="C60" s="233">
        <v>275</v>
      </c>
      <c r="D60" s="145" t="s">
        <v>645</v>
      </c>
      <c r="E60" s="233">
        <v>0</v>
      </c>
      <c r="F60" s="233">
        <f t="shared" si="0"/>
        <v>0</v>
      </c>
      <c r="G60" s="233">
        <f t="shared" si="1"/>
        <v>0</v>
      </c>
      <c r="H60" s="288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88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</row>
    <row r="61" spans="1:47" s="127" customFormat="1" ht="18" customHeight="1" thickBot="1" x14ac:dyDescent="0.35">
      <c r="A61" s="145" t="s">
        <v>56</v>
      </c>
      <c r="B61" s="139" t="s">
        <v>234</v>
      </c>
      <c r="C61" s="233">
        <v>153432</v>
      </c>
      <c r="D61" s="145"/>
      <c r="E61" s="233">
        <v>153432</v>
      </c>
      <c r="F61" s="233">
        <f t="shared" si="0"/>
        <v>153432</v>
      </c>
      <c r="G61" s="233">
        <f t="shared" si="1"/>
        <v>0</v>
      </c>
      <c r="H61" s="288"/>
      <c r="I61" s="293"/>
      <c r="J61" s="293"/>
      <c r="K61" s="293"/>
      <c r="L61" s="293"/>
      <c r="M61" s="293"/>
      <c r="N61" s="293">
        <v>5434</v>
      </c>
      <c r="O61" s="293"/>
      <c r="P61" s="293">
        <v>75906</v>
      </c>
      <c r="Q61" s="293"/>
      <c r="R61" s="293"/>
      <c r="S61" s="293">
        <v>204</v>
      </c>
      <c r="T61" s="293">
        <v>12030</v>
      </c>
      <c r="U61" s="293">
        <v>-204</v>
      </c>
      <c r="V61" s="293">
        <v>20116.86</v>
      </c>
      <c r="W61" s="293"/>
      <c r="X61" s="288"/>
      <c r="Y61" s="226"/>
      <c r="Z61" s="226"/>
      <c r="AA61" s="226"/>
      <c r="AB61" s="226"/>
      <c r="AC61" s="226"/>
      <c r="AD61" s="226">
        <v>39945.14</v>
      </c>
      <c r="AE61" s="226"/>
      <c r="AF61" s="226"/>
      <c r="AG61" s="226"/>
      <c r="AH61" s="226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</row>
    <row r="62" spans="1:47" s="127" customFormat="1" ht="18" customHeight="1" thickBot="1" x14ac:dyDescent="0.35">
      <c r="A62" s="145" t="s">
        <v>57</v>
      </c>
      <c r="B62" s="139" t="s">
        <v>235</v>
      </c>
      <c r="C62" s="233">
        <v>13942</v>
      </c>
      <c r="D62" s="145"/>
      <c r="E62" s="233">
        <v>13942</v>
      </c>
      <c r="F62" s="233">
        <f t="shared" si="0"/>
        <v>13942</v>
      </c>
      <c r="G62" s="233">
        <f t="shared" si="1"/>
        <v>0</v>
      </c>
      <c r="H62" s="288"/>
      <c r="I62" s="293"/>
      <c r="J62" s="293"/>
      <c r="K62" s="293"/>
      <c r="L62" s="293"/>
      <c r="M62" s="293">
        <v>3021</v>
      </c>
      <c r="N62" s="293"/>
      <c r="O62" s="293">
        <v>660</v>
      </c>
      <c r="P62" s="293"/>
      <c r="Q62" s="293"/>
      <c r="R62" s="293"/>
      <c r="S62" s="293"/>
      <c r="T62" s="293"/>
      <c r="U62" s="293"/>
      <c r="V62" s="293"/>
      <c r="W62" s="293">
        <v>757</v>
      </c>
      <c r="X62" s="288"/>
      <c r="Y62" s="226"/>
      <c r="Z62" s="226"/>
      <c r="AA62" s="226">
        <v>6184.05</v>
      </c>
      <c r="AB62" s="226"/>
      <c r="AC62" s="226"/>
      <c r="AD62" s="226"/>
      <c r="AE62" s="226">
        <v>2432.8200000000002</v>
      </c>
      <c r="AF62" s="226"/>
      <c r="AG62" s="226"/>
      <c r="AH62" s="226"/>
      <c r="AI62" s="228">
        <v>736.78</v>
      </c>
      <c r="AJ62" s="228"/>
      <c r="AK62" s="228"/>
      <c r="AL62" s="228"/>
      <c r="AM62" s="228"/>
      <c r="AN62" s="228">
        <v>150.35</v>
      </c>
      <c r="AO62" s="228"/>
      <c r="AP62" s="228"/>
      <c r="AQ62" s="228"/>
      <c r="AR62" s="228"/>
      <c r="AS62" s="228"/>
      <c r="AT62" s="228"/>
      <c r="AU62" s="228"/>
    </row>
    <row r="63" spans="1:47" s="127" customFormat="1" ht="18" customHeight="1" thickBot="1" x14ac:dyDescent="0.35">
      <c r="A63" s="145" t="s">
        <v>58</v>
      </c>
      <c r="B63" s="139" t="s">
        <v>236</v>
      </c>
      <c r="C63" s="233">
        <v>30632</v>
      </c>
      <c r="D63" s="145"/>
      <c r="E63" s="233">
        <v>30632</v>
      </c>
      <c r="F63" s="233">
        <f t="shared" si="0"/>
        <v>30632</v>
      </c>
      <c r="G63" s="233">
        <f t="shared" si="1"/>
        <v>0</v>
      </c>
      <c r="H63" s="288"/>
      <c r="I63" s="293"/>
      <c r="J63" s="293"/>
      <c r="K63" s="293"/>
      <c r="L63" s="293"/>
      <c r="M63" s="293"/>
      <c r="N63" s="293"/>
      <c r="O63" s="293"/>
      <c r="P63" s="293"/>
      <c r="Q63" s="293">
        <f>7940+2364</f>
        <v>10304</v>
      </c>
      <c r="R63" s="293">
        <v>1126</v>
      </c>
      <c r="S63" s="293">
        <v>9863</v>
      </c>
      <c r="T63" s="293"/>
      <c r="U63" s="293"/>
      <c r="V63" s="293"/>
      <c r="W63" s="293">
        <v>3282.66</v>
      </c>
      <c r="X63" s="288"/>
      <c r="Y63" s="226">
        <v>6056.34</v>
      </c>
      <c r="Z63" s="226"/>
      <c r="AA63" s="226"/>
      <c r="AB63" s="226"/>
      <c r="AC63" s="226"/>
      <c r="AD63" s="226"/>
      <c r="AE63" s="226"/>
      <c r="AF63" s="226"/>
      <c r="AG63" s="226"/>
      <c r="AH63" s="226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</row>
    <row r="64" spans="1:47" s="127" customFormat="1" ht="18" customHeight="1" thickBot="1" x14ac:dyDescent="0.35">
      <c r="A64" s="145" t="s">
        <v>59</v>
      </c>
      <c r="B64" s="139" t="s">
        <v>237</v>
      </c>
      <c r="C64" s="233">
        <v>149449</v>
      </c>
      <c r="D64" s="145"/>
      <c r="E64" s="233">
        <v>149449</v>
      </c>
      <c r="F64" s="233">
        <f t="shared" si="0"/>
        <v>149449</v>
      </c>
      <c r="G64" s="233">
        <f t="shared" si="1"/>
        <v>0</v>
      </c>
      <c r="H64" s="288"/>
      <c r="I64" s="293"/>
      <c r="J64" s="293"/>
      <c r="K64" s="293"/>
      <c r="L64" s="293">
        <v>2853</v>
      </c>
      <c r="M64" s="293">
        <v>8532</v>
      </c>
      <c r="N64" s="293">
        <v>3818</v>
      </c>
      <c r="O64" s="293">
        <v>3476</v>
      </c>
      <c r="P64" s="293">
        <v>2396</v>
      </c>
      <c r="Q64" s="293"/>
      <c r="R64" s="293">
        <f>1887+3268</f>
        <v>5155</v>
      </c>
      <c r="S64" s="293">
        <v>2347</v>
      </c>
      <c r="T64" s="293">
        <v>6192</v>
      </c>
      <c r="U64" s="293"/>
      <c r="V64" s="293">
        <v>1030.3499999999999</v>
      </c>
      <c r="W64" s="293"/>
      <c r="X64" s="288"/>
      <c r="Y64" s="226"/>
      <c r="Z64" s="226">
        <f>40264.95+8551.96+32442.95</f>
        <v>81259.86</v>
      </c>
      <c r="AA64" s="226">
        <f>6021.11+3126.72</f>
        <v>9147.83</v>
      </c>
      <c r="AB64" s="226">
        <v>8339.86</v>
      </c>
      <c r="AC64" s="226">
        <v>3667.32</v>
      </c>
      <c r="AD64" s="226">
        <v>11234.78</v>
      </c>
      <c r="AE64" s="226"/>
      <c r="AF64" s="226"/>
      <c r="AG64" s="226"/>
      <c r="AH64" s="226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</row>
    <row r="65" spans="1:47" s="127" customFormat="1" ht="18" customHeight="1" thickBot="1" x14ac:dyDescent="0.35">
      <c r="A65" s="145" t="s">
        <v>60</v>
      </c>
      <c r="B65" s="139" t="s">
        <v>238</v>
      </c>
      <c r="C65" s="233">
        <v>11126</v>
      </c>
      <c r="D65" s="145"/>
      <c r="E65" s="233">
        <f>C65+C168</f>
        <v>15247</v>
      </c>
      <c r="F65" s="233">
        <f t="shared" si="0"/>
        <v>15247</v>
      </c>
      <c r="G65" s="233">
        <f t="shared" si="1"/>
        <v>0</v>
      </c>
      <c r="H65" s="288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>
        <v>15247</v>
      </c>
      <c r="T65" s="293"/>
      <c r="U65" s="293"/>
      <c r="V65" s="293"/>
      <c r="W65" s="293"/>
      <c r="X65" s="288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</row>
    <row r="66" spans="1:47" s="127" customFormat="1" ht="18" customHeight="1" thickBot="1" x14ac:dyDescent="0.35">
      <c r="A66" s="145" t="s">
        <v>61</v>
      </c>
      <c r="B66" s="139" t="s">
        <v>239</v>
      </c>
      <c r="C66" s="233">
        <v>687</v>
      </c>
      <c r="D66" s="145" t="s">
        <v>645</v>
      </c>
      <c r="E66" s="233">
        <v>0</v>
      </c>
      <c r="F66" s="233">
        <f t="shared" si="0"/>
        <v>0</v>
      </c>
      <c r="G66" s="233">
        <f t="shared" si="1"/>
        <v>0</v>
      </c>
      <c r="H66" s="288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88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</row>
    <row r="67" spans="1:47" s="127" customFormat="1" ht="18" customHeight="1" thickBot="1" x14ac:dyDescent="0.35">
      <c r="A67" s="145" t="s">
        <v>62</v>
      </c>
      <c r="B67" s="139" t="s">
        <v>240</v>
      </c>
      <c r="C67" s="233">
        <v>44711</v>
      </c>
      <c r="D67" s="145"/>
      <c r="E67" s="233">
        <v>44711</v>
      </c>
      <c r="F67" s="233">
        <f t="shared" si="0"/>
        <v>44711</v>
      </c>
      <c r="G67" s="233">
        <f t="shared" si="1"/>
        <v>0</v>
      </c>
      <c r="H67" s="288"/>
      <c r="I67" s="293"/>
      <c r="J67" s="293"/>
      <c r="K67" s="293"/>
      <c r="L67" s="293"/>
      <c r="M67" s="293">
        <v>9868</v>
      </c>
      <c r="N67" s="293"/>
      <c r="O67" s="293">
        <v>5449</v>
      </c>
      <c r="P67" s="293"/>
      <c r="Q67" s="293"/>
      <c r="R67" s="293">
        <v>14403</v>
      </c>
      <c r="S67" s="293">
        <v>1074</v>
      </c>
      <c r="T67" s="293">
        <v>2601</v>
      </c>
      <c r="U67" s="293">
        <v>155</v>
      </c>
      <c r="V67" s="293"/>
      <c r="W67" s="293"/>
      <c r="X67" s="288"/>
      <c r="Y67" s="226"/>
      <c r="Z67" s="226"/>
      <c r="AA67" s="226">
        <v>11161</v>
      </c>
      <c r="AB67" s="226"/>
      <c r="AC67" s="226"/>
      <c r="AD67" s="226"/>
      <c r="AE67" s="226"/>
      <c r="AF67" s="226"/>
      <c r="AG67" s="226"/>
      <c r="AH67" s="226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</row>
    <row r="68" spans="1:47" s="127" customFormat="1" ht="18" customHeight="1" thickBot="1" x14ac:dyDescent="0.35">
      <c r="A68" s="145" t="s">
        <v>63</v>
      </c>
      <c r="B68" s="139" t="s">
        <v>241</v>
      </c>
      <c r="C68" s="233">
        <v>8516</v>
      </c>
      <c r="D68" s="145" t="s">
        <v>371</v>
      </c>
      <c r="E68" s="233">
        <v>0</v>
      </c>
      <c r="F68" s="233">
        <f t="shared" si="0"/>
        <v>0</v>
      </c>
      <c r="G68" s="233">
        <f t="shared" si="1"/>
        <v>0</v>
      </c>
      <c r="H68" s="288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88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</row>
    <row r="69" spans="1:47" s="127" customFormat="1" ht="18" customHeight="1" thickBot="1" x14ac:dyDescent="0.35">
      <c r="A69" s="145" t="s">
        <v>64</v>
      </c>
      <c r="B69" s="139" t="s">
        <v>242</v>
      </c>
      <c r="C69" s="233">
        <v>1030</v>
      </c>
      <c r="D69" s="145" t="s">
        <v>645</v>
      </c>
      <c r="E69" s="233">
        <v>0</v>
      </c>
      <c r="F69" s="233">
        <f t="shared" si="0"/>
        <v>0</v>
      </c>
      <c r="G69" s="233">
        <f t="shared" si="1"/>
        <v>0</v>
      </c>
      <c r="H69" s="288"/>
      <c r="I69" s="293"/>
      <c r="J69" s="293"/>
      <c r="K69" s="293"/>
      <c r="L69" s="293"/>
      <c r="M69" s="300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88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</row>
    <row r="70" spans="1:47" s="127" customFormat="1" ht="18" customHeight="1" thickBot="1" x14ac:dyDescent="0.35">
      <c r="A70" s="145" t="s">
        <v>65</v>
      </c>
      <c r="B70" s="139" t="s">
        <v>243</v>
      </c>
      <c r="C70" s="233">
        <v>3228</v>
      </c>
      <c r="D70" s="145" t="s">
        <v>645</v>
      </c>
      <c r="E70" s="233">
        <v>0</v>
      </c>
      <c r="F70" s="233">
        <f t="shared" si="0"/>
        <v>0</v>
      </c>
      <c r="G70" s="233">
        <f t="shared" si="1"/>
        <v>0</v>
      </c>
      <c r="H70" s="288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88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</row>
    <row r="71" spans="1:47" s="127" customFormat="1" ht="18" customHeight="1" thickBot="1" x14ac:dyDescent="0.35">
      <c r="A71" s="145" t="s">
        <v>66</v>
      </c>
      <c r="B71" s="139" t="s">
        <v>244</v>
      </c>
      <c r="C71" s="233">
        <v>15316</v>
      </c>
      <c r="D71" s="145"/>
      <c r="E71" s="233">
        <v>15316</v>
      </c>
      <c r="F71" s="233">
        <f t="shared" si="0"/>
        <v>15316</v>
      </c>
      <c r="G71" s="233">
        <f t="shared" si="1"/>
        <v>0</v>
      </c>
      <c r="H71" s="288"/>
      <c r="I71" s="293"/>
      <c r="J71" s="293"/>
      <c r="K71" s="293"/>
      <c r="L71" s="293"/>
      <c r="M71" s="293"/>
      <c r="N71" s="293"/>
      <c r="O71" s="293"/>
      <c r="P71" s="293"/>
      <c r="Q71" s="293">
        <v>1627</v>
      </c>
      <c r="R71" s="293">
        <v>925</v>
      </c>
      <c r="S71" s="293">
        <v>1708</v>
      </c>
      <c r="T71" s="293">
        <v>1081.5</v>
      </c>
      <c r="U71" s="293"/>
      <c r="V71" s="293"/>
      <c r="W71" s="293"/>
      <c r="X71" s="288"/>
      <c r="Y71" s="226"/>
      <c r="Z71" s="226">
        <v>4140.58</v>
      </c>
      <c r="AA71" s="226">
        <v>1321.34</v>
      </c>
      <c r="AB71" s="226"/>
      <c r="AC71" s="226"/>
      <c r="AD71" s="226">
        <v>4512.58</v>
      </c>
      <c r="AE71" s="226"/>
      <c r="AF71" s="226"/>
      <c r="AG71" s="226"/>
      <c r="AH71" s="226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</row>
    <row r="72" spans="1:47" s="127" customFormat="1" ht="18" customHeight="1" thickBot="1" x14ac:dyDescent="0.35">
      <c r="A72" s="145" t="s">
        <v>67</v>
      </c>
      <c r="B72" s="139" t="s">
        <v>245</v>
      </c>
      <c r="C72" s="233">
        <v>73419</v>
      </c>
      <c r="D72" s="145"/>
      <c r="E72" s="233">
        <v>73419</v>
      </c>
      <c r="F72" s="233">
        <f t="shared" si="0"/>
        <v>73419</v>
      </c>
      <c r="G72" s="233">
        <f t="shared" si="1"/>
        <v>0</v>
      </c>
      <c r="H72" s="288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>
        <v>13492</v>
      </c>
      <c r="W72" s="293"/>
      <c r="X72" s="288"/>
      <c r="Y72" s="226"/>
      <c r="Z72" s="226">
        <v>11681</v>
      </c>
      <c r="AA72" s="226"/>
      <c r="AB72" s="226"/>
      <c r="AC72" s="226">
        <v>27635</v>
      </c>
      <c r="AD72" s="226"/>
      <c r="AE72" s="226"/>
      <c r="AF72" s="226"/>
      <c r="AG72" s="226"/>
      <c r="AH72" s="226">
        <v>10444</v>
      </c>
      <c r="AI72" s="228"/>
      <c r="AJ72" s="306">
        <v>10167</v>
      </c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</row>
    <row r="73" spans="1:47" s="127" customFormat="1" ht="18" customHeight="1" thickBot="1" x14ac:dyDescent="0.35">
      <c r="A73" s="145" t="s">
        <v>68</v>
      </c>
      <c r="B73" s="139" t="s">
        <v>246</v>
      </c>
      <c r="C73" s="233">
        <v>549</v>
      </c>
      <c r="D73" s="145" t="s">
        <v>645</v>
      </c>
      <c r="E73" s="233">
        <v>0</v>
      </c>
      <c r="F73" s="233">
        <f t="shared" si="0"/>
        <v>0</v>
      </c>
      <c r="G73" s="233">
        <f t="shared" si="1"/>
        <v>0</v>
      </c>
      <c r="H73" s="288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88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</row>
    <row r="74" spans="1:47" s="127" customFormat="1" ht="18" customHeight="1" thickBot="1" x14ac:dyDescent="0.35">
      <c r="A74" s="145" t="s">
        <v>69</v>
      </c>
      <c r="B74" s="139" t="s">
        <v>247</v>
      </c>
      <c r="C74" s="233">
        <v>618</v>
      </c>
      <c r="D74" s="145" t="s">
        <v>645</v>
      </c>
      <c r="E74" s="233">
        <v>0</v>
      </c>
      <c r="F74" s="233">
        <f t="shared" si="0"/>
        <v>0</v>
      </c>
      <c r="G74" s="233">
        <f t="shared" si="1"/>
        <v>0</v>
      </c>
      <c r="H74" s="288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88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</row>
    <row r="75" spans="1:47" s="127" customFormat="1" ht="18" customHeight="1" thickBot="1" x14ac:dyDescent="0.35">
      <c r="A75" s="145" t="s">
        <v>70</v>
      </c>
      <c r="B75" s="139" t="s">
        <v>248</v>
      </c>
      <c r="C75" s="233">
        <v>3228</v>
      </c>
      <c r="D75" s="145" t="s">
        <v>645</v>
      </c>
      <c r="E75" s="233">
        <v>0</v>
      </c>
      <c r="F75" s="233">
        <f t="shared" si="0"/>
        <v>0</v>
      </c>
      <c r="G75" s="233">
        <f>E75-(F75+AL75+AM75)</f>
        <v>0</v>
      </c>
      <c r="H75" s="288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88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</row>
    <row r="76" spans="1:47" s="127" customFormat="1" ht="18" customHeight="1" thickBot="1" x14ac:dyDescent="0.35">
      <c r="A76" s="145" t="s">
        <v>71</v>
      </c>
      <c r="B76" s="139" t="s">
        <v>249</v>
      </c>
      <c r="C76" s="233">
        <v>1030</v>
      </c>
      <c r="D76" s="145" t="s">
        <v>645</v>
      </c>
      <c r="E76" s="233">
        <v>0</v>
      </c>
      <c r="F76" s="233">
        <f t="shared" si="0"/>
        <v>0</v>
      </c>
      <c r="G76" s="233">
        <f t="shared" si="1"/>
        <v>0</v>
      </c>
      <c r="H76" s="288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88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</row>
    <row r="77" spans="1:47" s="127" customFormat="1" ht="18" customHeight="1" thickBot="1" x14ac:dyDescent="0.35">
      <c r="A77" s="145" t="s">
        <v>72</v>
      </c>
      <c r="B77" s="139" t="s">
        <v>250</v>
      </c>
      <c r="C77" s="233">
        <v>137</v>
      </c>
      <c r="D77" s="145" t="s">
        <v>645</v>
      </c>
      <c r="E77" s="233">
        <v>0</v>
      </c>
      <c r="F77" s="233">
        <f t="shared" ref="F77:F140" si="2">SUM(H77:AU77)</f>
        <v>0</v>
      </c>
      <c r="G77" s="233">
        <f t="shared" ref="G77:G140" si="3">E77-(F77+AL77+AM77)</f>
        <v>0</v>
      </c>
      <c r="H77" s="288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88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</row>
    <row r="78" spans="1:47" s="127" customFormat="1" ht="18" customHeight="1" thickBot="1" x14ac:dyDescent="0.35">
      <c r="A78" s="145" t="s">
        <v>73</v>
      </c>
      <c r="B78" s="139" t="s">
        <v>251</v>
      </c>
      <c r="C78" s="233">
        <v>125205</v>
      </c>
      <c r="D78" s="145"/>
      <c r="E78" s="233">
        <v>125205</v>
      </c>
      <c r="F78" s="233">
        <f t="shared" si="2"/>
        <v>125205</v>
      </c>
      <c r="G78" s="233">
        <f t="shared" si="3"/>
        <v>0</v>
      </c>
      <c r="H78" s="288"/>
      <c r="I78" s="293"/>
      <c r="J78" s="293"/>
      <c r="K78" s="293"/>
      <c r="L78" s="293"/>
      <c r="M78" s="293"/>
      <c r="N78" s="293"/>
      <c r="O78" s="293">
        <v>43553</v>
      </c>
      <c r="P78" s="293"/>
      <c r="Q78" s="293"/>
      <c r="R78" s="293"/>
      <c r="S78" s="293">
        <v>52361</v>
      </c>
      <c r="T78" s="293"/>
      <c r="U78" s="293"/>
      <c r="V78" s="293"/>
      <c r="W78" s="293"/>
      <c r="X78" s="288">
        <v>29291</v>
      </c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</row>
    <row r="79" spans="1:47" s="127" customFormat="1" ht="18" customHeight="1" thickBot="1" x14ac:dyDescent="0.35">
      <c r="A79" s="145" t="s">
        <v>74</v>
      </c>
      <c r="B79" s="139" t="s">
        <v>252</v>
      </c>
      <c r="C79" s="233">
        <v>79326</v>
      </c>
      <c r="D79" s="145"/>
      <c r="E79" s="233">
        <v>79326</v>
      </c>
      <c r="F79" s="233">
        <f t="shared" si="2"/>
        <v>79326</v>
      </c>
      <c r="G79" s="233">
        <f t="shared" si="3"/>
        <v>0</v>
      </c>
      <c r="H79" s="288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88"/>
      <c r="Y79" s="226"/>
      <c r="Z79" s="226"/>
      <c r="AA79" s="226"/>
      <c r="AB79" s="226"/>
      <c r="AC79" s="226"/>
      <c r="AD79" s="226"/>
      <c r="AE79" s="226">
        <v>79326</v>
      </c>
      <c r="AF79" s="226"/>
      <c r="AG79" s="226"/>
      <c r="AH79" s="226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</row>
    <row r="80" spans="1:47" s="127" customFormat="1" ht="18" customHeight="1" thickBot="1" x14ac:dyDescent="0.35">
      <c r="A80" s="145" t="s">
        <v>75</v>
      </c>
      <c r="B80" s="139" t="s">
        <v>253</v>
      </c>
      <c r="C80" s="233">
        <v>13667</v>
      </c>
      <c r="D80" s="145"/>
      <c r="E80" s="233">
        <v>13667</v>
      </c>
      <c r="F80" s="233">
        <f t="shared" si="2"/>
        <v>13667</v>
      </c>
      <c r="G80" s="233">
        <f t="shared" si="3"/>
        <v>0</v>
      </c>
      <c r="H80" s="288"/>
      <c r="I80" s="293"/>
      <c r="J80" s="293"/>
      <c r="K80" s="293"/>
      <c r="L80" s="293"/>
      <c r="M80" s="293"/>
      <c r="N80" s="293"/>
      <c r="O80" s="293">
        <v>6678</v>
      </c>
      <c r="P80" s="293"/>
      <c r="Q80" s="293"/>
      <c r="R80" s="293"/>
      <c r="S80" s="293">
        <v>6989</v>
      </c>
      <c r="T80" s="293"/>
      <c r="U80" s="293"/>
      <c r="V80" s="293"/>
      <c r="W80" s="293"/>
      <c r="X80" s="288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</row>
    <row r="81" spans="1:47" s="127" customFormat="1" ht="18" customHeight="1" thickBot="1" x14ac:dyDescent="0.35">
      <c r="A81" s="145" t="s">
        <v>76</v>
      </c>
      <c r="B81" s="139" t="s">
        <v>254</v>
      </c>
      <c r="C81" s="233">
        <v>137</v>
      </c>
      <c r="D81" s="145" t="s">
        <v>645</v>
      </c>
      <c r="E81" s="233">
        <v>0</v>
      </c>
      <c r="F81" s="233">
        <f t="shared" si="2"/>
        <v>0</v>
      </c>
      <c r="G81" s="233">
        <f t="shared" si="3"/>
        <v>0</v>
      </c>
      <c r="H81" s="288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88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</row>
    <row r="82" spans="1:47" s="127" customFormat="1" ht="18" customHeight="1" thickBot="1" x14ac:dyDescent="0.35">
      <c r="A82" s="145" t="s">
        <v>77</v>
      </c>
      <c r="B82" s="139" t="s">
        <v>255</v>
      </c>
      <c r="C82" s="233">
        <v>5563</v>
      </c>
      <c r="D82" s="145" t="s">
        <v>374</v>
      </c>
      <c r="E82" s="233">
        <v>0</v>
      </c>
      <c r="F82" s="233">
        <f t="shared" si="2"/>
        <v>0</v>
      </c>
      <c r="G82" s="233">
        <f t="shared" si="3"/>
        <v>0</v>
      </c>
      <c r="H82" s="288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88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</row>
    <row r="83" spans="1:47" s="127" customFormat="1" ht="18" customHeight="1" thickBot="1" x14ac:dyDescent="0.35">
      <c r="A83" s="145" t="s">
        <v>78</v>
      </c>
      <c r="B83" s="139" t="s">
        <v>256</v>
      </c>
      <c r="C83" s="233">
        <v>6181</v>
      </c>
      <c r="D83" s="145" t="s">
        <v>374</v>
      </c>
      <c r="E83" s="233">
        <v>0</v>
      </c>
      <c r="F83" s="233">
        <f t="shared" si="2"/>
        <v>0</v>
      </c>
      <c r="G83" s="233">
        <f t="shared" si="3"/>
        <v>0</v>
      </c>
      <c r="H83" s="288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88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</row>
    <row r="84" spans="1:47" s="127" customFormat="1" ht="18" customHeight="1" thickBot="1" x14ac:dyDescent="0.35">
      <c r="A84" s="145" t="s">
        <v>79</v>
      </c>
      <c r="B84" s="139" t="s">
        <v>257</v>
      </c>
      <c r="C84" s="233">
        <v>9959</v>
      </c>
      <c r="D84" s="145" t="s">
        <v>120</v>
      </c>
      <c r="E84" s="233">
        <v>0</v>
      </c>
      <c r="F84" s="233">
        <f t="shared" si="2"/>
        <v>0</v>
      </c>
      <c r="G84" s="233">
        <f t="shared" si="3"/>
        <v>0</v>
      </c>
      <c r="H84" s="288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88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</row>
    <row r="85" spans="1:47" s="127" customFormat="1" ht="18" customHeight="1" thickBot="1" x14ac:dyDescent="0.35">
      <c r="A85" s="145" t="s">
        <v>80</v>
      </c>
      <c r="B85" s="139" t="s">
        <v>258</v>
      </c>
      <c r="C85" s="233">
        <v>69</v>
      </c>
      <c r="D85" s="145" t="s">
        <v>645</v>
      </c>
      <c r="E85" s="233">
        <v>0</v>
      </c>
      <c r="F85" s="233">
        <f t="shared" si="2"/>
        <v>0</v>
      </c>
      <c r="G85" s="233">
        <f t="shared" si="3"/>
        <v>0</v>
      </c>
      <c r="H85" s="288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88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</row>
    <row r="86" spans="1:47" s="127" customFormat="1" ht="18" customHeight="1" thickBot="1" x14ac:dyDescent="0.35">
      <c r="A86" s="145" t="s">
        <v>81</v>
      </c>
      <c r="B86" s="139" t="s">
        <v>259</v>
      </c>
      <c r="C86" s="233">
        <v>481</v>
      </c>
      <c r="D86" s="145" t="s">
        <v>645</v>
      </c>
      <c r="E86" s="233">
        <v>0</v>
      </c>
      <c r="F86" s="233">
        <f t="shared" si="2"/>
        <v>0</v>
      </c>
      <c r="G86" s="233">
        <f t="shared" si="3"/>
        <v>0</v>
      </c>
      <c r="H86" s="288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88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</row>
    <row r="87" spans="1:47" s="127" customFormat="1" ht="18" customHeight="1" thickBot="1" x14ac:dyDescent="0.35">
      <c r="A87" s="145" t="s">
        <v>82</v>
      </c>
      <c r="B87" s="139" t="s">
        <v>260</v>
      </c>
      <c r="C87" s="233">
        <v>0</v>
      </c>
      <c r="D87" s="145" t="s">
        <v>645</v>
      </c>
      <c r="E87" s="233">
        <v>0</v>
      </c>
      <c r="F87" s="233">
        <f t="shared" si="2"/>
        <v>0</v>
      </c>
      <c r="G87" s="233">
        <f t="shared" si="3"/>
        <v>0</v>
      </c>
      <c r="H87" s="288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88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</row>
    <row r="88" spans="1:47" s="127" customFormat="1" ht="18" customHeight="1" thickBot="1" x14ac:dyDescent="0.35">
      <c r="A88" s="145" t="s">
        <v>83</v>
      </c>
      <c r="B88" s="139" t="s">
        <v>261</v>
      </c>
      <c r="C88" s="233">
        <v>1099</v>
      </c>
      <c r="D88" s="145" t="s">
        <v>374</v>
      </c>
      <c r="E88" s="233">
        <v>0</v>
      </c>
      <c r="F88" s="233">
        <f t="shared" si="2"/>
        <v>0</v>
      </c>
      <c r="G88" s="233">
        <f t="shared" si="3"/>
        <v>0</v>
      </c>
      <c r="H88" s="288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88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8"/>
      <c r="AJ88" s="228"/>
      <c r="AK88" s="228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</row>
    <row r="89" spans="1:47" s="127" customFormat="1" ht="18" customHeight="1" thickBot="1" x14ac:dyDescent="0.35">
      <c r="A89" s="145" t="s">
        <v>84</v>
      </c>
      <c r="B89" s="139" t="s">
        <v>262</v>
      </c>
      <c r="C89" s="233">
        <v>461464</v>
      </c>
      <c r="D89" s="145"/>
      <c r="E89" s="233">
        <v>461464</v>
      </c>
      <c r="F89" s="233">
        <f t="shared" si="2"/>
        <v>461464</v>
      </c>
      <c r="G89" s="233">
        <f t="shared" si="3"/>
        <v>0</v>
      </c>
      <c r="H89" s="288"/>
      <c r="I89" s="293"/>
      <c r="J89" s="293"/>
      <c r="K89" s="293"/>
      <c r="L89" s="293"/>
      <c r="M89" s="293"/>
      <c r="N89" s="293"/>
      <c r="O89" s="293">
        <v>123751</v>
      </c>
      <c r="P89" s="293">
        <v>46106</v>
      </c>
      <c r="Q89" s="293">
        <v>52863</v>
      </c>
      <c r="R89" s="293">
        <v>31715</v>
      </c>
      <c r="S89" s="293">
        <v>30135</v>
      </c>
      <c r="T89" s="293"/>
      <c r="U89" s="293"/>
      <c r="V89" s="293">
        <v>328.62</v>
      </c>
      <c r="W89" s="293"/>
      <c r="X89" s="288"/>
      <c r="Y89" s="226">
        <v>63158.94</v>
      </c>
      <c r="Z89" s="226"/>
      <c r="AA89" s="226">
        <v>108446.56</v>
      </c>
      <c r="AB89" s="226">
        <v>4959.88</v>
      </c>
      <c r="AC89" s="226"/>
      <c r="AD89" s="226"/>
      <c r="AE89" s="226"/>
      <c r="AF89" s="226"/>
      <c r="AG89" s="226"/>
      <c r="AH89" s="226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</row>
    <row r="90" spans="1:47" s="127" customFormat="1" ht="18" customHeight="1" thickBot="1" x14ac:dyDescent="0.35">
      <c r="A90" s="145" t="s">
        <v>85</v>
      </c>
      <c r="B90" s="139" t="s">
        <v>263</v>
      </c>
      <c r="C90" s="233">
        <v>0</v>
      </c>
      <c r="D90" s="145"/>
      <c r="E90" s="233">
        <v>0</v>
      </c>
      <c r="F90" s="233">
        <f t="shared" si="2"/>
        <v>0</v>
      </c>
      <c r="G90" s="233">
        <f t="shared" si="3"/>
        <v>0</v>
      </c>
      <c r="H90" s="288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88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</row>
    <row r="91" spans="1:47" s="127" customFormat="1" ht="18" customHeight="1" thickBot="1" x14ac:dyDescent="0.35">
      <c r="A91" s="145" t="s">
        <v>86</v>
      </c>
      <c r="B91" s="139" t="s">
        <v>264</v>
      </c>
      <c r="C91" s="233">
        <v>0</v>
      </c>
      <c r="D91" s="145"/>
      <c r="E91" s="233">
        <v>0</v>
      </c>
      <c r="F91" s="233">
        <f t="shared" si="2"/>
        <v>0</v>
      </c>
      <c r="G91" s="233">
        <f t="shared" si="3"/>
        <v>0</v>
      </c>
      <c r="H91" s="288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88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</row>
    <row r="92" spans="1:47" s="127" customFormat="1" ht="18" customHeight="1" thickBot="1" x14ac:dyDescent="0.35">
      <c r="A92" s="145" t="s">
        <v>87</v>
      </c>
      <c r="B92" s="139" t="s">
        <v>265</v>
      </c>
      <c r="C92" s="233">
        <v>0</v>
      </c>
      <c r="D92" s="145"/>
      <c r="E92" s="233">
        <v>0</v>
      </c>
      <c r="F92" s="233">
        <f t="shared" si="2"/>
        <v>0</v>
      </c>
      <c r="G92" s="233">
        <f t="shared" si="3"/>
        <v>0</v>
      </c>
      <c r="H92" s="288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88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</row>
    <row r="93" spans="1:47" s="127" customFormat="1" ht="18" customHeight="1" thickBot="1" x14ac:dyDescent="0.35">
      <c r="A93" s="145" t="s">
        <v>88</v>
      </c>
      <c r="B93" s="139" t="s">
        <v>266</v>
      </c>
      <c r="C93" s="233">
        <v>206</v>
      </c>
      <c r="D93" s="145" t="s">
        <v>371</v>
      </c>
      <c r="E93" s="233">
        <v>0</v>
      </c>
      <c r="F93" s="233">
        <f t="shared" si="2"/>
        <v>0</v>
      </c>
      <c r="G93" s="233">
        <f t="shared" si="3"/>
        <v>0</v>
      </c>
      <c r="H93" s="288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88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</row>
    <row r="94" spans="1:47" s="127" customFormat="1" ht="18" customHeight="1" thickBot="1" x14ac:dyDescent="0.35">
      <c r="A94" s="145" t="s">
        <v>89</v>
      </c>
      <c r="B94" s="139" t="s">
        <v>267</v>
      </c>
      <c r="C94" s="233">
        <v>1923</v>
      </c>
      <c r="D94" s="145" t="s">
        <v>371</v>
      </c>
      <c r="E94" s="233">
        <v>0</v>
      </c>
      <c r="F94" s="233">
        <f t="shared" si="2"/>
        <v>0</v>
      </c>
      <c r="G94" s="233">
        <f t="shared" si="3"/>
        <v>0</v>
      </c>
      <c r="H94" s="288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88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</row>
    <row r="95" spans="1:47" s="127" customFormat="1" ht="18" customHeight="1" thickBot="1" x14ac:dyDescent="0.35">
      <c r="A95" s="145" t="s">
        <v>90</v>
      </c>
      <c r="B95" s="139" t="s">
        <v>268</v>
      </c>
      <c r="C95" s="233">
        <v>1648</v>
      </c>
      <c r="D95" s="145" t="s">
        <v>371</v>
      </c>
      <c r="E95" s="233">
        <v>0</v>
      </c>
      <c r="F95" s="233">
        <f t="shared" si="2"/>
        <v>0</v>
      </c>
      <c r="G95" s="233">
        <f t="shared" si="3"/>
        <v>0</v>
      </c>
      <c r="H95" s="288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88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</row>
    <row r="96" spans="1:47" s="127" customFormat="1" ht="18" customHeight="1" thickBot="1" x14ac:dyDescent="0.35">
      <c r="A96" s="145" t="s">
        <v>91</v>
      </c>
      <c r="B96" s="139" t="s">
        <v>269</v>
      </c>
      <c r="C96" s="233">
        <v>12362</v>
      </c>
      <c r="D96" s="145" t="s">
        <v>371</v>
      </c>
      <c r="E96" s="233">
        <v>0</v>
      </c>
      <c r="F96" s="233">
        <f t="shared" si="2"/>
        <v>0</v>
      </c>
      <c r="G96" s="233">
        <f t="shared" si="3"/>
        <v>0</v>
      </c>
      <c r="H96" s="288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88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</row>
    <row r="97" spans="1:47" s="127" customFormat="1" ht="18" customHeight="1" thickBot="1" x14ac:dyDescent="0.35">
      <c r="A97" s="145" t="s">
        <v>92</v>
      </c>
      <c r="B97" s="139" t="s">
        <v>270</v>
      </c>
      <c r="C97" s="233">
        <v>25206</v>
      </c>
      <c r="D97" s="145"/>
      <c r="E97" s="233">
        <v>25206</v>
      </c>
      <c r="F97" s="233">
        <f t="shared" si="2"/>
        <v>25206</v>
      </c>
      <c r="G97" s="233">
        <f t="shared" si="3"/>
        <v>0</v>
      </c>
      <c r="H97" s="288"/>
      <c r="I97" s="293"/>
      <c r="J97" s="293"/>
      <c r="K97" s="293"/>
      <c r="L97" s="293"/>
      <c r="M97" s="293"/>
      <c r="N97" s="293"/>
      <c r="O97" s="293">
        <v>5052</v>
      </c>
      <c r="P97" s="293">
        <v>7993</v>
      </c>
      <c r="Q97" s="293">
        <v>2525</v>
      </c>
      <c r="R97" s="293"/>
      <c r="S97" s="293">
        <v>9636</v>
      </c>
      <c r="T97" s="293"/>
      <c r="U97" s="293"/>
      <c r="V97" s="293"/>
      <c r="W97" s="293"/>
      <c r="X97" s="288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</row>
    <row r="98" spans="1:47" s="127" customFormat="1" ht="18" customHeight="1" thickBot="1" x14ac:dyDescent="0.35">
      <c r="A98" s="145" t="s">
        <v>93</v>
      </c>
      <c r="B98" s="139" t="s">
        <v>271</v>
      </c>
      <c r="C98" s="233">
        <v>15453</v>
      </c>
      <c r="D98" s="145"/>
      <c r="E98" s="233">
        <v>15453</v>
      </c>
      <c r="F98" s="233">
        <f t="shared" si="2"/>
        <v>15453</v>
      </c>
      <c r="G98" s="233">
        <f t="shared" si="3"/>
        <v>0</v>
      </c>
      <c r="H98" s="288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>
        <f>7298</f>
        <v>7298</v>
      </c>
      <c r="U98" s="293">
        <v>5531</v>
      </c>
      <c r="V98" s="293"/>
      <c r="W98" s="293"/>
      <c r="X98" s="288"/>
      <c r="Y98" s="226"/>
      <c r="Z98" s="226"/>
      <c r="AA98" s="226"/>
      <c r="AB98" s="226"/>
      <c r="AC98" s="226">
        <v>2624</v>
      </c>
      <c r="AD98" s="226"/>
      <c r="AE98" s="226"/>
      <c r="AF98" s="226"/>
      <c r="AG98" s="226"/>
      <c r="AH98" s="226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</row>
    <row r="99" spans="1:47" s="127" customFormat="1" ht="18" customHeight="1" thickBot="1" x14ac:dyDescent="0.35">
      <c r="A99" s="145" t="s">
        <v>94</v>
      </c>
      <c r="B99" s="139" t="s">
        <v>272</v>
      </c>
      <c r="C99" s="233">
        <v>2129</v>
      </c>
      <c r="D99" s="145" t="s">
        <v>645</v>
      </c>
      <c r="E99" s="233">
        <v>0</v>
      </c>
      <c r="F99" s="233">
        <f t="shared" si="2"/>
        <v>0</v>
      </c>
      <c r="G99" s="233">
        <f t="shared" si="3"/>
        <v>0</v>
      </c>
      <c r="H99" s="288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88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</row>
    <row r="100" spans="1:47" s="127" customFormat="1" ht="18" customHeight="1" thickBot="1" x14ac:dyDescent="0.35">
      <c r="A100" s="145" t="s">
        <v>95</v>
      </c>
      <c r="B100" s="139" t="s">
        <v>273</v>
      </c>
      <c r="C100" s="233">
        <v>4670</v>
      </c>
      <c r="D100" s="145" t="s">
        <v>645</v>
      </c>
      <c r="E100" s="233">
        <v>0</v>
      </c>
      <c r="F100" s="233">
        <f t="shared" si="2"/>
        <v>0</v>
      </c>
      <c r="G100" s="233">
        <f t="shared" si="3"/>
        <v>0</v>
      </c>
      <c r="H100" s="288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88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</row>
    <row r="101" spans="1:47" s="127" customFormat="1" ht="18" customHeight="1" thickBot="1" x14ac:dyDescent="0.35">
      <c r="A101" s="145" t="s">
        <v>96</v>
      </c>
      <c r="B101" s="139" t="s">
        <v>274</v>
      </c>
      <c r="C101" s="233">
        <v>135507</v>
      </c>
      <c r="D101" s="145"/>
      <c r="E101" s="233">
        <v>135507</v>
      </c>
      <c r="F101" s="233">
        <f t="shared" si="2"/>
        <v>135507</v>
      </c>
      <c r="G101" s="233">
        <f t="shared" si="3"/>
        <v>0</v>
      </c>
      <c r="H101" s="288"/>
      <c r="I101" s="293"/>
      <c r="J101" s="293"/>
      <c r="K101" s="293"/>
      <c r="L101" s="293">
        <v>12226</v>
      </c>
      <c r="M101" s="293"/>
      <c r="N101" s="293"/>
      <c r="O101" s="293">
        <v>40401</v>
      </c>
      <c r="P101" s="293"/>
      <c r="Q101" s="293"/>
      <c r="R101" s="293">
        <v>34186</v>
      </c>
      <c r="S101" s="293">
        <v>22586</v>
      </c>
      <c r="T101" s="293"/>
      <c r="U101" s="293">
        <v>12214</v>
      </c>
      <c r="V101" s="293"/>
      <c r="W101" s="293"/>
      <c r="X101" s="288">
        <v>13314</v>
      </c>
      <c r="Y101" s="226">
        <v>580</v>
      </c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</row>
    <row r="102" spans="1:47" s="127" customFormat="1" ht="18" customHeight="1" thickBot="1" x14ac:dyDescent="0.35">
      <c r="A102" s="145" t="s">
        <v>97</v>
      </c>
      <c r="B102" s="139" t="s">
        <v>275</v>
      </c>
      <c r="C102" s="233">
        <v>39903</v>
      </c>
      <c r="D102" s="145"/>
      <c r="E102" s="233">
        <v>39903</v>
      </c>
      <c r="F102" s="233">
        <f t="shared" si="2"/>
        <v>39903</v>
      </c>
      <c r="G102" s="233">
        <f t="shared" si="3"/>
        <v>0</v>
      </c>
      <c r="H102" s="288"/>
      <c r="I102" s="293"/>
      <c r="J102" s="293"/>
      <c r="K102" s="293"/>
      <c r="L102" s="293"/>
      <c r="M102" s="293"/>
      <c r="N102" s="293"/>
      <c r="O102" s="293">
        <v>4696</v>
      </c>
      <c r="P102" s="293">
        <v>6791</v>
      </c>
      <c r="Q102" s="293"/>
      <c r="R102" s="293"/>
      <c r="S102" s="293"/>
      <c r="T102" s="293">
        <v>3863.97</v>
      </c>
      <c r="U102" s="293">
        <v>14840.38</v>
      </c>
      <c r="V102" s="293">
        <v>18.670000000000002</v>
      </c>
      <c r="W102" s="293"/>
      <c r="X102" s="288">
        <v>5333.92</v>
      </c>
      <c r="Y102" s="226">
        <v>1462.37</v>
      </c>
      <c r="Z102" s="226"/>
      <c r="AA102" s="226">
        <v>65.87</v>
      </c>
      <c r="AB102" s="226">
        <v>714.99</v>
      </c>
      <c r="AC102" s="226"/>
      <c r="AD102" s="226">
        <v>500</v>
      </c>
      <c r="AE102" s="226"/>
      <c r="AF102" s="226">
        <v>358.18</v>
      </c>
      <c r="AG102" s="226">
        <v>1257.6500000000001</v>
      </c>
      <c r="AH102" s="226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</row>
    <row r="103" spans="1:47" s="127" customFormat="1" ht="18" customHeight="1" thickBot="1" x14ac:dyDescent="0.35">
      <c r="A103" s="145" t="s">
        <v>98</v>
      </c>
      <c r="B103" s="139" t="s">
        <v>276</v>
      </c>
      <c r="C103" s="233">
        <v>12362</v>
      </c>
      <c r="D103" s="145"/>
      <c r="E103" s="233">
        <v>12362</v>
      </c>
      <c r="F103" s="233">
        <f t="shared" si="2"/>
        <v>12362</v>
      </c>
      <c r="G103" s="233">
        <f t="shared" si="3"/>
        <v>0</v>
      </c>
      <c r="H103" s="288"/>
      <c r="I103" s="293"/>
      <c r="J103" s="293"/>
      <c r="K103" s="293"/>
      <c r="L103" s="293"/>
      <c r="M103" s="293"/>
      <c r="N103" s="293">
        <v>12304</v>
      </c>
      <c r="O103" s="293">
        <v>58</v>
      </c>
      <c r="P103" s="293"/>
      <c r="Q103" s="293"/>
      <c r="R103" s="293"/>
      <c r="S103" s="293"/>
      <c r="T103" s="293"/>
      <c r="U103" s="293"/>
      <c r="V103" s="293"/>
      <c r="W103" s="293"/>
      <c r="X103" s="288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</row>
    <row r="104" spans="1:47" s="127" customFormat="1" ht="18" customHeight="1" thickBot="1" x14ac:dyDescent="0.35">
      <c r="A104" s="145" t="s">
        <v>99</v>
      </c>
      <c r="B104" s="139" t="s">
        <v>277</v>
      </c>
      <c r="C104" s="233">
        <v>2404</v>
      </c>
      <c r="D104" s="145" t="s">
        <v>645</v>
      </c>
      <c r="E104" s="233">
        <v>0</v>
      </c>
      <c r="F104" s="233">
        <f t="shared" si="2"/>
        <v>0</v>
      </c>
      <c r="G104" s="233">
        <f t="shared" si="3"/>
        <v>0</v>
      </c>
      <c r="H104" s="288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88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</row>
    <row r="105" spans="1:47" s="127" customFormat="1" ht="18" customHeight="1" thickBot="1" x14ac:dyDescent="0.35">
      <c r="A105" s="145" t="s">
        <v>100</v>
      </c>
      <c r="B105" s="139" t="s">
        <v>278</v>
      </c>
      <c r="C105" s="233">
        <v>549</v>
      </c>
      <c r="D105" s="145" t="s">
        <v>645</v>
      </c>
      <c r="E105" s="233">
        <v>0</v>
      </c>
      <c r="F105" s="233">
        <f t="shared" si="2"/>
        <v>0</v>
      </c>
      <c r="G105" s="233">
        <f t="shared" si="3"/>
        <v>0</v>
      </c>
      <c r="H105" s="288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88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</row>
    <row r="106" spans="1:47" s="127" customFormat="1" ht="18" customHeight="1" thickBot="1" x14ac:dyDescent="0.35">
      <c r="A106" s="145" t="s">
        <v>101</v>
      </c>
      <c r="B106" s="139" t="s">
        <v>279</v>
      </c>
      <c r="C106" s="233">
        <v>687</v>
      </c>
      <c r="D106" s="145" t="s">
        <v>645</v>
      </c>
      <c r="E106" s="233">
        <v>0</v>
      </c>
      <c r="F106" s="233">
        <f t="shared" si="2"/>
        <v>0</v>
      </c>
      <c r="G106" s="233">
        <f t="shared" si="3"/>
        <v>0</v>
      </c>
      <c r="H106" s="288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88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</row>
    <row r="107" spans="1:47" s="127" customFormat="1" ht="18" customHeight="1" thickBot="1" x14ac:dyDescent="0.35">
      <c r="A107" s="145" t="s">
        <v>102</v>
      </c>
      <c r="B107" s="139" t="s">
        <v>280</v>
      </c>
      <c r="C107" s="233">
        <v>206</v>
      </c>
      <c r="D107" s="145" t="s">
        <v>645</v>
      </c>
      <c r="E107" s="233">
        <v>0</v>
      </c>
      <c r="F107" s="233">
        <f t="shared" si="2"/>
        <v>0</v>
      </c>
      <c r="G107" s="233">
        <f t="shared" si="3"/>
        <v>0</v>
      </c>
      <c r="H107" s="288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88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</row>
    <row r="108" spans="1:47" s="127" customFormat="1" ht="18" customHeight="1" thickBot="1" x14ac:dyDescent="0.35">
      <c r="A108" s="145" t="s">
        <v>103</v>
      </c>
      <c r="B108" s="139" t="s">
        <v>281</v>
      </c>
      <c r="C108" s="233">
        <v>0</v>
      </c>
      <c r="D108" s="145"/>
      <c r="E108" s="233">
        <v>0</v>
      </c>
      <c r="F108" s="233">
        <f t="shared" si="2"/>
        <v>0</v>
      </c>
      <c r="G108" s="233">
        <f t="shared" si="3"/>
        <v>0</v>
      </c>
      <c r="H108" s="288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88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</row>
    <row r="109" spans="1:47" s="127" customFormat="1" ht="18" customHeight="1" thickBot="1" x14ac:dyDescent="0.35">
      <c r="A109" s="145" t="s">
        <v>104</v>
      </c>
      <c r="B109" s="139" t="s">
        <v>282</v>
      </c>
      <c r="C109" s="233">
        <v>0</v>
      </c>
      <c r="D109" s="145"/>
      <c r="E109" s="233">
        <v>0</v>
      </c>
      <c r="F109" s="233">
        <f t="shared" si="2"/>
        <v>0</v>
      </c>
      <c r="G109" s="233">
        <f t="shared" si="3"/>
        <v>0</v>
      </c>
      <c r="H109" s="288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88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</row>
    <row r="110" spans="1:47" s="127" customFormat="1" ht="18" customHeight="1" thickBot="1" x14ac:dyDescent="0.35">
      <c r="A110" s="145" t="s">
        <v>105</v>
      </c>
      <c r="B110" s="139" t="s">
        <v>283</v>
      </c>
      <c r="C110" s="233">
        <v>0</v>
      </c>
      <c r="D110" s="145"/>
      <c r="E110" s="233">
        <v>0</v>
      </c>
      <c r="F110" s="233">
        <f t="shared" si="2"/>
        <v>0</v>
      </c>
      <c r="G110" s="233">
        <f t="shared" si="3"/>
        <v>0</v>
      </c>
      <c r="H110" s="288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88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</row>
    <row r="111" spans="1:47" s="127" customFormat="1" ht="18" customHeight="1" thickBot="1" x14ac:dyDescent="0.35">
      <c r="A111" s="145" t="s">
        <v>106</v>
      </c>
      <c r="B111" s="139" t="s">
        <v>284</v>
      </c>
      <c r="C111" s="233">
        <v>2060</v>
      </c>
      <c r="D111" s="145">
        <v>9025</v>
      </c>
      <c r="E111" s="233">
        <v>0</v>
      </c>
      <c r="F111" s="233">
        <f t="shared" si="2"/>
        <v>0</v>
      </c>
      <c r="G111" s="233">
        <f t="shared" si="3"/>
        <v>0</v>
      </c>
      <c r="H111" s="288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88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</row>
    <row r="112" spans="1:47" s="127" customFormat="1" ht="18" customHeight="1" thickBot="1" x14ac:dyDescent="0.35">
      <c r="A112" s="145" t="s">
        <v>107</v>
      </c>
      <c r="B112" s="139" t="s">
        <v>285</v>
      </c>
      <c r="C112" s="233">
        <v>0</v>
      </c>
      <c r="D112" s="145"/>
      <c r="E112" s="233">
        <v>0</v>
      </c>
      <c r="F112" s="233">
        <f t="shared" si="2"/>
        <v>0</v>
      </c>
      <c r="G112" s="233">
        <f t="shared" si="3"/>
        <v>0</v>
      </c>
      <c r="H112" s="288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88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</row>
    <row r="113" spans="1:47" s="127" customFormat="1" ht="18" customHeight="1" thickBot="1" x14ac:dyDescent="0.35">
      <c r="A113" s="145" t="s">
        <v>108</v>
      </c>
      <c r="B113" s="139" t="s">
        <v>286</v>
      </c>
      <c r="C113" s="233">
        <v>8791</v>
      </c>
      <c r="D113" s="145" t="s">
        <v>372</v>
      </c>
      <c r="E113" s="233">
        <v>0</v>
      </c>
      <c r="F113" s="233">
        <f t="shared" si="2"/>
        <v>0</v>
      </c>
      <c r="G113" s="233">
        <f t="shared" si="3"/>
        <v>0</v>
      </c>
      <c r="H113" s="288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88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</row>
    <row r="114" spans="1:47" s="127" customFormat="1" ht="18" customHeight="1" thickBot="1" x14ac:dyDescent="0.35">
      <c r="A114" s="145" t="s">
        <v>109</v>
      </c>
      <c r="B114" s="139" t="s">
        <v>287</v>
      </c>
      <c r="C114" s="233">
        <v>0</v>
      </c>
      <c r="D114" s="145"/>
      <c r="E114" s="233">
        <v>0</v>
      </c>
      <c r="F114" s="233">
        <f t="shared" si="2"/>
        <v>0</v>
      </c>
      <c r="G114" s="233">
        <f t="shared" si="3"/>
        <v>0</v>
      </c>
      <c r="H114" s="288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88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</row>
    <row r="115" spans="1:47" s="127" customFormat="1" ht="18" customHeight="1" thickBot="1" x14ac:dyDescent="0.35">
      <c r="A115" s="145" t="s">
        <v>110</v>
      </c>
      <c r="B115" s="139" t="s">
        <v>288</v>
      </c>
      <c r="C115" s="233">
        <v>275</v>
      </c>
      <c r="D115" s="145" t="s">
        <v>645</v>
      </c>
      <c r="E115" s="233">
        <v>0</v>
      </c>
      <c r="F115" s="233">
        <f t="shared" si="2"/>
        <v>0</v>
      </c>
      <c r="G115" s="233">
        <f t="shared" si="3"/>
        <v>0</v>
      </c>
      <c r="H115" s="288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88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</row>
    <row r="116" spans="1:47" s="127" customFormat="1" ht="18" customHeight="1" thickBot="1" x14ac:dyDescent="0.35">
      <c r="A116" s="145" t="s">
        <v>111</v>
      </c>
      <c r="B116" s="139" t="s">
        <v>289</v>
      </c>
      <c r="C116" s="233">
        <v>0</v>
      </c>
      <c r="D116" s="145"/>
      <c r="E116" s="233">
        <v>0</v>
      </c>
      <c r="F116" s="233">
        <f t="shared" si="2"/>
        <v>0</v>
      </c>
      <c r="G116" s="233">
        <f t="shared" si="3"/>
        <v>0</v>
      </c>
      <c r="H116" s="288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88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</row>
    <row r="117" spans="1:47" s="127" customFormat="1" ht="18" customHeight="1" thickBot="1" x14ac:dyDescent="0.35">
      <c r="A117" s="145" t="s">
        <v>112</v>
      </c>
      <c r="B117" s="139" t="s">
        <v>290</v>
      </c>
      <c r="C117" s="233">
        <v>137</v>
      </c>
      <c r="D117" s="145" t="s">
        <v>645</v>
      </c>
      <c r="E117" s="233">
        <v>0</v>
      </c>
      <c r="F117" s="233">
        <f t="shared" si="2"/>
        <v>0</v>
      </c>
      <c r="G117" s="233">
        <f t="shared" si="3"/>
        <v>0</v>
      </c>
      <c r="H117" s="288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88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</row>
    <row r="118" spans="1:47" s="127" customFormat="1" ht="18" customHeight="1" thickBot="1" x14ac:dyDescent="0.35">
      <c r="A118" s="145" t="s">
        <v>113</v>
      </c>
      <c r="B118" s="139" t="s">
        <v>291</v>
      </c>
      <c r="C118" s="233">
        <v>549</v>
      </c>
      <c r="D118" s="145" t="s">
        <v>645</v>
      </c>
      <c r="E118" s="233">
        <v>0</v>
      </c>
      <c r="F118" s="233">
        <f t="shared" si="2"/>
        <v>0</v>
      </c>
      <c r="G118" s="233">
        <f t="shared" si="3"/>
        <v>0</v>
      </c>
      <c r="H118" s="288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88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</row>
    <row r="119" spans="1:47" s="127" customFormat="1" ht="18" customHeight="1" thickBot="1" x14ac:dyDescent="0.35">
      <c r="A119" s="145" t="s">
        <v>114</v>
      </c>
      <c r="B119" s="139" t="s">
        <v>292</v>
      </c>
      <c r="C119" s="233">
        <v>51922</v>
      </c>
      <c r="D119" s="145"/>
      <c r="E119" s="233">
        <v>51922</v>
      </c>
      <c r="F119" s="233">
        <f t="shared" si="2"/>
        <v>51922</v>
      </c>
      <c r="G119" s="233">
        <f t="shared" si="3"/>
        <v>0</v>
      </c>
      <c r="H119" s="288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>
        <f>13754</f>
        <v>13754</v>
      </c>
      <c r="U119" s="293"/>
      <c r="V119" s="293"/>
      <c r="W119" s="293"/>
      <c r="X119" s="288"/>
      <c r="Y119" s="226"/>
      <c r="Z119" s="226">
        <f>27548.28+9345.55</f>
        <v>36893.83</v>
      </c>
      <c r="AA119" s="226"/>
      <c r="AB119" s="226"/>
      <c r="AC119" s="226"/>
      <c r="AD119" s="226">
        <v>1274.17</v>
      </c>
      <c r="AE119" s="226"/>
      <c r="AF119" s="226"/>
      <c r="AG119" s="226"/>
      <c r="AH119" s="226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</row>
    <row r="120" spans="1:47" s="127" customFormat="1" ht="18" customHeight="1" thickBot="1" x14ac:dyDescent="0.35">
      <c r="A120" s="145" t="s">
        <v>115</v>
      </c>
      <c r="B120" s="139" t="s">
        <v>293</v>
      </c>
      <c r="C120" s="233">
        <v>0</v>
      </c>
      <c r="D120" s="145"/>
      <c r="E120" s="233">
        <v>0</v>
      </c>
      <c r="F120" s="233">
        <f t="shared" si="2"/>
        <v>0</v>
      </c>
      <c r="G120" s="233">
        <f t="shared" si="3"/>
        <v>0</v>
      </c>
      <c r="H120" s="288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88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</row>
    <row r="121" spans="1:47" s="127" customFormat="1" ht="18" customHeight="1" thickBot="1" x14ac:dyDescent="0.35">
      <c r="A121" s="145" t="s">
        <v>116</v>
      </c>
      <c r="B121" s="139" t="s">
        <v>294</v>
      </c>
      <c r="C121" s="233">
        <v>14217</v>
      </c>
      <c r="D121" s="145"/>
      <c r="E121" s="233">
        <v>14217</v>
      </c>
      <c r="F121" s="233">
        <f t="shared" si="2"/>
        <v>14217</v>
      </c>
      <c r="G121" s="233">
        <f t="shared" si="3"/>
        <v>0</v>
      </c>
      <c r="H121" s="288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>
        <v>12195</v>
      </c>
      <c r="T121" s="293"/>
      <c r="U121" s="293"/>
      <c r="V121" s="293"/>
      <c r="W121" s="293">
        <v>2022</v>
      </c>
      <c r="X121" s="288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</row>
    <row r="122" spans="1:47" s="127" customFormat="1" ht="18" customHeight="1" thickBot="1" x14ac:dyDescent="0.35">
      <c r="A122" s="145" t="s">
        <v>117</v>
      </c>
      <c r="B122" s="139" t="s">
        <v>295</v>
      </c>
      <c r="C122" s="233">
        <v>10989</v>
      </c>
      <c r="D122" s="145"/>
      <c r="E122" s="233">
        <v>10989</v>
      </c>
      <c r="F122" s="233">
        <f t="shared" si="2"/>
        <v>10950.44</v>
      </c>
      <c r="G122" s="233">
        <f t="shared" si="3"/>
        <v>38.559999999999491</v>
      </c>
      <c r="H122" s="288"/>
      <c r="I122" s="293"/>
      <c r="J122" s="293"/>
      <c r="K122" s="293"/>
      <c r="L122" s="293"/>
      <c r="M122" s="293">
        <f>1079+921</f>
        <v>2000</v>
      </c>
      <c r="N122" s="293">
        <v>922</v>
      </c>
      <c r="O122" s="293">
        <v>923</v>
      </c>
      <c r="P122" s="293">
        <v>922</v>
      </c>
      <c r="Q122" s="293">
        <v>919</v>
      </c>
      <c r="R122" s="293">
        <v>918</v>
      </c>
      <c r="S122" s="293">
        <v>3675</v>
      </c>
      <c r="T122" s="293">
        <f>668+3.44</f>
        <v>671.44</v>
      </c>
      <c r="U122" s="293"/>
      <c r="V122" s="293"/>
      <c r="W122" s="293"/>
      <c r="X122" s="288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</row>
    <row r="123" spans="1:47" s="127" customFormat="1" ht="18" customHeight="1" thickBot="1" x14ac:dyDescent="0.35">
      <c r="A123" s="145" t="s">
        <v>118</v>
      </c>
      <c r="B123" s="139" t="s">
        <v>296</v>
      </c>
      <c r="C123" s="233">
        <v>1442</v>
      </c>
      <c r="D123" s="145" t="s">
        <v>645</v>
      </c>
      <c r="E123" s="233">
        <v>0</v>
      </c>
      <c r="F123" s="233">
        <f t="shared" si="2"/>
        <v>0</v>
      </c>
      <c r="G123" s="233">
        <f t="shared" si="3"/>
        <v>0</v>
      </c>
      <c r="H123" s="288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88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</row>
    <row r="124" spans="1:47" s="127" customFormat="1" ht="18" customHeight="1" thickBot="1" x14ac:dyDescent="0.35">
      <c r="A124" s="145" t="s">
        <v>119</v>
      </c>
      <c r="B124" s="139" t="s">
        <v>297</v>
      </c>
      <c r="C124" s="233">
        <v>2541</v>
      </c>
      <c r="D124" s="145" t="s">
        <v>645</v>
      </c>
      <c r="E124" s="233">
        <v>0</v>
      </c>
      <c r="F124" s="233">
        <f t="shared" si="2"/>
        <v>0</v>
      </c>
      <c r="G124" s="233">
        <f t="shared" si="3"/>
        <v>0</v>
      </c>
      <c r="H124" s="288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88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</row>
    <row r="125" spans="1:47" s="127" customFormat="1" ht="18" customHeight="1" thickBot="1" x14ac:dyDescent="0.35">
      <c r="A125" s="145" t="s">
        <v>120</v>
      </c>
      <c r="B125" s="139" t="s">
        <v>298</v>
      </c>
      <c r="C125" s="233">
        <v>64354</v>
      </c>
      <c r="D125" s="145"/>
      <c r="E125" s="233">
        <f>C125+C84+C28+C162-5533</f>
        <v>85263</v>
      </c>
      <c r="F125" s="233">
        <f t="shared" si="2"/>
        <v>85263</v>
      </c>
      <c r="G125" s="233">
        <f t="shared" si="3"/>
        <v>0</v>
      </c>
      <c r="H125" s="288"/>
      <c r="I125" s="293"/>
      <c r="J125" s="293"/>
      <c r="K125" s="293"/>
      <c r="L125" s="293"/>
      <c r="M125" s="293"/>
      <c r="N125" s="293">
        <v>996</v>
      </c>
      <c r="O125" s="293">
        <v>5928</v>
      </c>
      <c r="P125" s="293">
        <v>6557</v>
      </c>
      <c r="Q125" s="293"/>
      <c r="R125" s="293">
        <v>17982</v>
      </c>
      <c r="S125" s="293">
        <v>26619</v>
      </c>
      <c r="T125" s="293">
        <v>17276.419999999998</v>
      </c>
      <c r="U125" s="293"/>
      <c r="V125" s="293"/>
      <c r="W125" s="293"/>
      <c r="X125" s="288"/>
      <c r="Y125" s="226"/>
      <c r="Z125" s="226">
        <v>9483</v>
      </c>
      <c r="AA125" s="226"/>
      <c r="AB125" s="226"/>
      <c r="AC125" s="226">
        <f>5954.58-5533</f>
        <v>421.57999999999993</v>
      </c>
      <c r="AD125" s="226"/>
      <c r="AE125" s="226"/>
      <c r="AF125" s="226"/>
      <c r="AG125" s="226"/>
      <c r="AH125" s="226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</row>
    <row r="126" spans="1:47" s="127" customFormat="1" ht="18" customHeight="1" thickBot="1" x14ac:dyDescent="0.35">
      <c r="A126" s="145" t="s">
        <v>121</v>
      </c>
      <c r="B126" s="139" t="s">
        <v>299</v>
      </c>
      <c r="C126" s="233">
        <v>69</v>
      </c>
      <c r="D126" s="145" t="s">
        <v>645</v>
      </c>
      <c r="E126" s="233">
        <v>0</v>
      </c>
      <c r="F126" s="233">
        <f t="shared" si="2"/>
        <v>0</v>
      </c>
      <c r="G126" s="233">
        <f t="shared" si="3"/>
        <v>0</v>
      </c>
      <c r="H126" s="288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88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</row>
    <row r="127" spans="1:47" s="127" customFormat="1" ht="19.5" thickBot="1" x14ac:dyDescent="0.35">
      <c r="A127" s="145" t="s">
        <v>122</v>
      </c>
      <c r="B127" s="139" t="s">
        <v>300</v>
      </c>
      <c r="C127" s="233">
        <v>16071</v>
      </c>
      <c r="D127" s="145" t="s">
        <v>372</v>
      </c>
      <c r="E127" s="233">
        <v>0</v>
      </c>
      <c r="F127" s="233">
        <f t="shared" si="2"/>
        <v>0</v>
      </c>
      <c r="G127" s="233">
        <f t="shared" si="3"/>
        <v>0</v>
      </c>
      <c r="H127" s="288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88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</row>
    <row r="128" spans="1:47" s="127" customFormat="1" ht="19.5" thickBot="1" x14ac:dyDescent="0.35">
      <c r="A128" s="145" t="s">
        <v>123</v>
      </c>
      <c r="B128" s="139" t="s">
        <v>301</v>
      </c>
      <c r="C128" s="233">
        <v>64079</v>
      </c>
      <c r="D128" s="145"/>
      <c r="E128" s="233">
        <v>64079</v>
      </c>
      <c r="F128" s="233">
        <f t="shared" si="2"/>
        <v>64079</v>
      </c>
      <c r="G128" s="233">
        <f t="shared" si="3"/>
        <v>0</v>
      </c>
      <c r="H128" s="288"/>
      <c r="I128" s="293"/>
      <c r="J128" s="293"/>
      <c r="K128" s="293"/>
      <c r="L128" s="293">
        <f>7411+501</f>
        <v>7912</v>
      </c>
      <c r="M128" s="293">
        <f>6075</f>
        <v>6075</v>
      </c>
      <c r="N128" s="293">
        <v>6730</v>
      </c>
      <c r="O128" s="293">
        <v>3862</v>
      </c>
      <c r="P128" s="293">
        <v>6422</v>
      </c>
      <c r="Q128" s="293">
        <v>5530</v>
      </c>
      <c r="R128" s="293">
        <v>5901</v>
      </c>
      <c r="S128" s="293">
        <v>6381</v>
      </c>
      <c r="T128" s="293"/>
      <c r="U128" s="293">
        <v>3530.08</v>
      </c>
      <c r="V128" s="293">
        <v>1555.99</v>
      </c>
      <c r="W128" s="293">
        <v>6308</v>
      </c>
      <c r="X128" s="288"/>
      <c r="Y128" s="226"/>
      <c r="Z128" s="226"/>
      <c r="AA128" s="226">
        <v>3871.93</v>
      </c>
      <c r="AB128" s="226"/>
      <c r="AC128" s="226"/>
      <c r="AD128" s="226"/>
      <c r="AE128" s="226"/>
      <c r="AF128" s="226"/>
      <c r="AG128" s="226"/>
      <c r="AH128" s="226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</row>
    <row r="129" spans="1:59" s="127" customFormat="1" ht="19.5" thickBot="1" x14ac:dyDescent="0.35">
      <c r="A129" s="145" t="s">
        <v>124</v>
      </c>
      <c r="B129" s="139" t="s">
        <v>302</v>
      </c>
      <c r="C129" s="233">
        <v>0</v>
      </c>
      <c r="D129" s="145"/>
      <c r="E129" s="233">
        <v>0</v>
      </c>
      <c r="F129" s="233">
        <f t="shared" si="2"/>
        <v>0</v>
      </c>
      <c r="G129" s="233">
        <f t="shared" si="3"/>
        <v>0</v>
      </c>
      <c r="H129" s="288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88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</row>
    <row r="130" spans="1:59" s="127" customFormat="1" ht="19.5" thickBot="1" x14ac:dyDescent="0.35">
      <c r="A130" s="145" t="s">
        <v>125</v>
      </c>
      <c r="B130" s="139" t="s">
        <v>303</v>
      </c>
      <c r="C130" s="233">
        <v>3640</v>
      </c>
      <c r="D130" s="145" t="s">
        <v>372</v>
      </c>
      <c r="E130" s="233">
        <v>0</v>
      </c>
      <c r="F130" s="233">
        <f t="shared" si="2"/>
        <v>0</v>
      </c>
      <c r="G130" s="233">
        <f t="shared" si="3"/>
        <v>0</v>
      </c>
      <c r="H130" s="288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88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</row>
    <row r="131" spans="1:59" s="127" customFormat="1" ht="19.5" thickBot="1" x14ac:dyDescent="0.35">
      <c r="A131" s="145" t="s">
        <v>126</v>
      </c>
      <c r="B131" s="139" t="s">
        <v>304</v>
      </c>
      <c r="C131" s="233">
        <v>2885</v>
      </c>
      <c r="D131" s="145" t="s">
        <v>406</v>
      </c>
      <c r="E131" s="233">
        <v>0</v>
      </c>
      <c r="F131" s="233">
        <f t="shared" si="2"/>
        <v>0</v>
      </c>
      <c r="G131" s="233">
        <f t="shared" si="3"/>
        <v>0</v>
      </c>
      <c r="H131" s="288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88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</row>
    <row r="132" spans="1:59" s="127" customFormat="1" ht="19.5" thickBot="1" x14ac:dyDescent="0.35">
      <c r="A132" s="145" t="s">
        <v>127</v>
      </c>
      <c r="B132" s="139" t="s">
        <v>305</v>
      </c>
      <c r="C132" s="233">
        <v>3571</v>
      </c>
      <c r="D132" s="145" t="s">
        <v>406</v>
      </c>
      <c r="E132" s="233">
        <v>0</v>
      </c>
      <c r="F132" s="233">
        <f t="shared" si="2"/>
        <v>0</v>
      </c>
      <c r="G132" s="233">
        <f t="shared" si="3"/>
        <v>0</v>
      </c>
      <c r="H132" s="288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88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</row>
    <row r="133" spans="1:59" s="127" customFormat="1" ht="19.5" thickBot="1" x14ac:dyDescent="0.35">
      <c r="A133" s="145" t="s">
        <v>128</v>
      </c>
      <c r="B133" s="139" t="s">
        <v>306</v>
      </c>
      <c r="C133" s="233">
        <v>1236</v>
      </c>
      <c r="D133" s="145" t="s">
        <v>406</v>
      </c>
      <c r="E133" s="233">
        <v>0</v>
      </c>
      <c r="F133" s="233">
        <f t="shared" si="2"/>
        <v>0</v>
      </c>
      <c r="G133" s="233">
        <f t="shared" si="3"/>
        <v>0</v>
      </c>
      <c r="H133" s="288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88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</row>
    <row r="134" spans="1:59" s="127" customFormat="1" ht="19.5" thickBot="1" x14ac:dyDescent="0.35">
      <c r="A134" s="145" t="s">
        <v>129</v>
      </c>
      <c r="B134" s="139" t="s">
        <v>307</v>
      </c>
      <c r="C134" s="233">
        <v>412</v>
      </c>
      <c r="D134" s="145" t="s">
        <v>645</v>
      </c>
      <c r="E134" s="233">
        <v>0</v>
      </c>
      <c r="F134" s="233">
        <f t="shared" si="2"/>
        <v>0</v>
      </c>
      <c r="G134" s="233">
        <f t="shared" si="3"/>
        <v>0</v>
      </c>
      <c r="H134" s="288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88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</row>
    <row r="135" spans="1:59" s="4" customFormat="1" ht="19.5" thickBot="1" x14ac:dyDescent="0.35">
      <c r="A135" s="145" t="s">
        <v>130</v>
      </c>
      <c r="B135" s="139" t="s">
        <v>308</v>
      </c>
      <c r="C135" s="233">
        <v>0</v>
      </c>
      <c r="D135" s="145"/>
      <c r="E135" s="233">
        <v>0</v>
      </c>
      <c r="F135" s="233">
        <f t="shared" si="2"/>
        <v>0</v>
      </c>
      <c r="G135" s="233">
        <f t="shared" si="3"/>
        <v>0</v>
      </c>
      <c r="H135" s="295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5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3"/>
      <c r="AJ135" s="203"/>
      <c r="AK135" s="203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</row>
    <row r="136" spans="1:59" ht="19.5" thickBot="1" x14ac:dyDescent="0.35">
      <c r="A136" s="145" t="s">
        <v>131</v>
      </c>
      <c r="B136" s="139" t="s">
        <v>309</v>
      </c>
      <c r="C136" s="233">
        <v>0</v>
      </c>
      <c r="D136" s="145"/>
      <c r="E136" s="233">
        <v>0</v>
      </c>
      <c r="F136" s="233">
        <f t="shared" si="2"/>
        <v>0</v>
      </c>
      <c r="G136" s="233">
        <f t="shared" si="3"/>
        <v>0</v>
      </c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</row>
    <row r="137" spans="1:59" ht="19.5" thickBot="1" x14ac:dyDescent="0.35">
      <c r="A137" s="145" t="s">
        <v>132</v>
      </c>
      <c r="B137" s="139" t="s">
        <v>310</v>
      </c>
      <c r="C137" s="233">
        <v>481</v>
      </c>
      <c r="D137" s="145" t="s">
        <v>645</v>
      </c>
      <c r="E137" s="233">
        <v>0</v>
      </c>
      <c r="F137" s="233">
        <f t="shared" si="2"/>
        <v>0</v>
      </c>
      <c r="G137" s="233">
        <f t="shared" si="3"/>
        <v>0</v>
      </c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7"/>
      <c r="AJ137" s="237"/>
      <c r="AK137" s="237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</row>
    <row r="138" spans="1:59" ht="19.5" thickBot="1" x14ac:dyDescent="0.35">
      <c r="A138" s="145" t="s">
        <v>133</v>
      </c>
      <c r="B138" s="139" t="s">
        <v>311</v>
      </c>
      <c r="C138" s="233">
        <v>412</v>
      </c>
      <c r="D138" s="145" t="s">
        <v>645</v>
      </c>
      <c r="E138" s="233">
        <v>0</v>
      </c>
      <c r="F138" s="233">
        <f t="shared" si="2"/>
        <v>0</v>
      </c>
      <c r="G138" s="233">
        <f t="shared" si="3"/>
        <v>0</v>
      </c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7"/>
      <c r="AJ138" s="237"/>
      <c r="AK138" s="237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</row>
    <row r="139" spans="1:59" ht="19.5" thickBot="1" x14ac:dyDescent="0.35">
      <c r="A139" s="145" t="s">
        <v>134</v>
      </c>
      <c r="B139" s="139" t="s">
        <v>312</v>
      </c>
      <c r="C139" s="233">
        <v>343</v>
      </c>
      <c r="D139" s="145" t="s">
        <v>645</v>
      </c>
      <c r="E139" s="233">
        <v>0</v>
      </c>
      <c r="F139" s="233">
        <f t="shared" si="2"/>
        <v>0</v>
      </c>
      <c r="G139" s="233">
        <f t="shared" si="3"/>
        <v>0</v>
      </c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7"/>
      <c r="AJ139" s="237"/>
      <c r="AK139" s="237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</row>
    <row r="140" spans="1:59" ht="19.5" thickBot="1" x14ac:dyDescent="0.35">
      <c r="A140" s="145" t="s">
        <v>135</v>
      </c>
      <c r="B140" s="139" t="s">
        <v>313</v>
      </c>
      <c r="C140" s="233">
        <v>893</v>
      </c>
      <c r="D140" s="145" t="s">
        <v>645</v>
      </c>
      <c r="E140" s="233">
        <v>0</v>
      </c>
      <c r="F140" s="233">
        <f t="shared" si="2"/>
        <v>0</v>
      </c>
      <c r="G140" s="233">
        <f t="shared" si="3"/>
        <v>0</v>
      </c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7"/>
      <c r="AJ140" s="237"/>
      <c r="AK140" s="237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</row>
    <row r="141" spans="1:59" ht="19.5" thickBot="1" x14ac:dyDescent="0.35">
      <c r="A141" s="145" t="s">
        <v>136</v>
      </c>
      <c r="B141" s="139" t="s">
        <v>314</v>
      </c>
      <c r="C141" s="233">
        <v>9066</v>
      </c>
      <c r="D141" s="145" t="s">
        <v>373</v>
      </c>
      <c r="E141" s="233">
        <v>0</v>
      </c>
      <c r="F141" s="233">
        <f t="shared" ref="F141:F196" si="4">SUM(H141:AU141)</f>
        <v>0</v>
      </c>
      <c r="G141" s="233">
        <f t="shared" ref="G141:G196" si="5">E141-(F141+AL141+AM141)</f>
        <v>0</v>
      </c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7"/>
      <c r="AJ141" s="237"/>
      <c r="AK141" s="237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</row>
    <row r="142" spans="1:59" ht="19.5" thickBot="1" x14ac:dyDescent="0.35">
      <c r="A142" s="145" t="s">
        <v>137</v>
      </c>
      <c r="B142" s="139" t="s">
        <v>315</v>
      </c>
      <c r="C142" s="233">
        <v>687</v>
      </c>
      <c r="D142" s="145" t="s">
        <v>645</v>
      </c>
      <c r="E142" s="233">
        <v>0</v>
      </c>
      <c r="F142" s="233">
        <f t="shared" si="4"/>
        <v>0</v>
      </c>
      <c r="G142" s="233">
        <f t="shared" si="5"/>
        <v>0</v>
      </c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7"/>
      <c r="AJ142" s="237"/>
      <c r="AK142" s="237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</row>
    <row r="143" spans="1:59" ht="19.5" thickBot="1" x14ac:dyDescent="0.35">
      <c r="A143" s="145" t="s">
        <v>138</v>
      </c>
      <c r="B143" s="139" t="s">
        <v>316</v>
      </c>
      <c r="C143" s="233">
        <v>7692</v>
      </c>
      <c r="D143" s="145" t="s">
        <v>645</v>
      </c>
      <c r="E143" s="233">
        <v>0</v>
      </c>
      <c r="F143" s="233">
        <f t="shared" si="4"/>
        <v>0</v>
      </c>
      <c r="G143" s="233">
        <f t="shared" si="5"/>
        <v>0</v>
      </c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7"/>
      <c r="AJ143" s="237"/>
      <c r="AK143" s="237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</row>
    <row r="144" spans="1:59" ht="19.5" thickBot="1" x14ac:dyDescent="0.35">
      <c r="A144" s="145" t="s">
        <v>139</v>
      </c>
      <c r="B144" s="139" t="s">
        <v>317</v>
      </c>
      <c r="C144" s="233">
        <v>1992</v>
      </c>
      <c r="D144" s="145" t="s">
        <v>406</v>
      </c>
      <c r="E144" s="233">
        <v>0</v>
      </c>
      <c r="F144" s="233">
        <f t="shared" si="4"/>
        <v>0</v>
      </c>
      <c r="G144" s="233">
        <f t="shared" si="5"/>
        <v>0</v>
      </c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7"/>
      <c r="AJ144" s="237"/>
      <c r="AK144" s="237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</row>
    <row r="145" spans="1:47" ht="19.5" thickBot="1" x14ac:dyDescent="0.35">
      <c r="A145" s="145" t="s">
        <v>140</v>
      </c>
      <c r="B145" s="139" t="s">
        <v>318</v>
      </c>
      <c r="C145" s="233">
        <v>7761</v>
      </c>
      <c r="D145" s="145" t="s">
        <v>406</v>
      </c>
      <c r="E145" s="233">
        <v>0</v>
      </c>
      <c r="F145" s="233">
        <f t="shared" si="4"/>
        <v>0</v>
      </c>
      <c r="G145" s="233">
        <f t="shared" si="5"/>
        <v>0</v>
      </c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7"/>
      <c r="AJ145" s="237"/>
      <c r="AK145" s="237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</row>
    <row r="146" spans="1:47" ht="19.5" thickBot="1" x14ac:dyDescent="0.35">
      <c r="A146" s="145" t="s">
        <v>141</v>
      </c>
      <c r="B146" s="139" t="s">
        <v>319</v>
      </c>
      <c r="C146" s="233">
        <v>4052</v>
      </c>
      <c r="D146" s="145" t="s">
        <v>406</v>
      </c>
      <c r="E146" s="233">
        <v>0</v>
      </c>
      <c r="F146" s="233">
        <f t="shared" si="4"/>
        <v>0</v>
      </c>
      <c r="G146" s="233">
        <f t="shared" si="5"/>
        <v>0</v>
      </c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7"/>
      <c r="AJ146" s="237"/>
      <c r="AK146" s="237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</row>
    <row r="147" spans="1:47" ht="19.5" thickBot="1" x14ac:dyDescent="0.35">
      <c r="A147" s="145" t="s">
        <v>142</v>
      </c>
      <c r="B147" s="139" t="s">
        <v>320</v>
      </c>
      <c r="C147" s="233">
        <v>618</v>
      </c>
      <c r="D147" s="145" t="s">
        <v>406</v>
      </c>
      <c r="E147" s="233">
        <v>0</v>
      </c>
      <c r="F147" s="233">
        <f t="shared" si="4"/>
        <v>0</v>
      </c>
      <c r="G147" s="233">
        <f t="shared" si="5"/>
        <v>0</v>
      </c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301"/>
      <c r="S147" s="296"/>
      <c r="T147" s="296"/>
      <c r="U147" s="296"/>
      <c r="V147" s="296"/>
      <c r="W147" s="296"/>
      <c r="X147" s="29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7"/>
      <c r="AJ147" s="237"/>
      <c r="AK147" s="237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</row>
    <row r="148" spans="1:47" ht="19.5" thickBot="1" x14ac:dyDescent="0.35">
      <c r="A148" s="145" t="s">
        <v>143</v>
      </c>
      <c r="B148" s="139" t="s">
        <v>321</v>
      </c>
      <c r="C148" s="233">
        <v>66964</v>
      </c>
      <c r="D148" s="145"/>
      <c r="E148" s="233">
        <v>66964</v>
      </c>
      <c r="F148" s="233">
        <f t="shared" si="4"/>
        <v>66964</v>
      </c>
      <c r="G148" s="233">
        <f t="shared" si="5"/>
        <v>0</v>
      </c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>
        <v>6433</v>
      </c>
      <c r="S148" s="296">
        <f>13933+1956</f>
        <v>15889</v>
      </c>
      <c r="T148" s="296"/>
      <c r="U148" s="296"/>
      <c r="V148" s="296"/>
      <c r="W148" s="296"/>
      <c r="X148" s="296">
        <f>31174+10625.63</f>
        <v>41799.629999999997</v>
      </c>
      <c r="Y148" s="236"/>
      <c r="Z148" s="236">
        <v>2842.37</v>
      </c>
      <c r="AA148" s="236"/>
      <c r="AB148" s="236"/>
      <c r="AC148" s="236"/>
      <c r="AD148" s="236"/>
      <c r="AE148" s="236"/>
      <c r="AF148" s="236"/>
      <c r="AG148" s="236"/>
      <c r="AH148" s="236"/>
      <c r="AI148" s="237"/>
      <c r="AJ148" s="237"/>
      <c r="AK148" s="237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</row>
    <row r="149" spans="1:47" ht="19.5" thickBot="1" x14ac:dyDescent="0.35">
      <c r="A149" s="145" t="s">
        <v>144</v>
      </c>
      <c r="B149" s="139" t="s">
        <v>322</v>
      </c>
      <c r="C149" s="233">
        <v>26236</v>
      </c>
      <c r="D149" s="145"/>
      <c r="E149" s="233">
        <v>26236</v>
      </c>
      <c r="F149" s="233">
        <f t="shared" si="4"/>
        <v>26236</v>
      </c>
      <c r="G149" s="233">
        <f t="shared" si="5"/>
        <v>0</v>
      </c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>
        <v>5813</v>
      </c>
      <c r="T149" s="296"/>
      <c r="U149" s="296">
        <v>17541</v>
      </c>
      <c r="V149" s="296"/>
      <c r="W149" s="296"/>
      <c r="X149" s="296"/>
      <c r="Y149" s="236"/>
      <c r="Z149" s="236"/>
      <c r="AA149" s="236"/>
      <c r="AB149" s="236">
        <v>2882</v>
      </c>
      <c r="AC149" s="236"/>
      <c r="AD149" s="236"/>
      <c r="AE149" s="236"/>
      <c r="AF149" s="236"/>
      <c r="AG149" s="236"/>
      <c r="AH149" s="236"/>
      <c r="AI149" s="237"/>
      <c r="AJ149" s="237"/>
      <c r="AK149" s="237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</row>
    <row r="150" spans="1:47" ht="19.5" thickBot="1" x14ac:dyDescent="0.35">
      <c r="A150" s="145" t="s">
        <v>145</v>
      </c>
      <c r="B150" s="139" t="s">
        <v>323</v>
      </c>
      <c r="C150" s="233">
        <v>3365</v>
      </c>
      <c r="D150" s="145" t="s">
        <v>374</v>
      </c>
      <c r="E150" s="233">
        <v>0</v>
      </c>
      <c r="F150" s="233">
        <f t="shared" si="4"/>
        <v>0</v>
      </c>
      <c r="G150" s="233">
        <f t="shared" si="5"/>
        <v>0</v>
      </c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7"/>
      <c r="AJ150" s="237"/>
      <c r="AK150" s="237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</row>
    <row r="151" spans="1:47" ht="19.5" thickBot="1" x14ac:dyDescent="0.35">
      <c r="A151" s="145" t="s">
        <v>146</v>
      </c>
      <c r="B151" s="139" t="s">
        <v>324</v>
      </c>
      <c r="C151" s="233">
        <v>275</v>
      </c>
      <c r="D151" s="145" t="s">
        <v>645</v>
      </c>
      <c r="E151" s="233">
        <v>0</v>
      </c>
      <c r="F151" s="233">
        <f t="shared" si="4"/>
        <v>0</v>
      </c>
      <c r="G151" s="233">
        <f t="shared" si="5"/>
        <v>0</v>
      </c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7"/>
      <c r="AJ151" s="237"/>
      <c r="AK151" s="237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</row>
    <row r="152" spans="1:47" ht="19.5" thickBot="1" x14ac:dyDescent="0.35">
      <c r="A152" s="145" t="s">
        <v>147</v>
      </c>
      <c r="B152" s="139" t="s">
        <v>325</v>
      </c>
      <c r="C152" s="233">
        <v>893</v>
      </c>
      <c r="D152" s="145" t="s">
        <v>405</v>
      </c>
      <c r="E152" s="233">
        <v>0</v>
      </c>
      <c r="F152" s="233">
        <f t="shared" si="4"/>
        <v>0</v>
      </c>
      <c r="G152" s="233">
        <f t="shared" si="5"/>
        <v>0</v>
      </c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7"/>
      <c r="AJ152" s="237"/>
      <c r="AK152" s="237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</row>
    <row r="153" spans="1:47" ht="19.5" thickBot="1" x14ac:dyDescent="0.35">
      <c r="A153" s="145" t="s">
        <v>148</v>
      </c>
      <c r="B153" s="139" t="s">
        <v>326</v>
      </c>
      <c r="C153" s="233">
        <v>6044</v>
      </c>
      <c r="D153" s="145" t="s">
        <v>405</v>
      </c>
      <c r="E153" s="233">
        <v>0</v>
      </c>
      <c r="F153" s="233">
        <f t="shared" si="4"/>
        <v>0</v>
      </c>
      <c r="G153" s="233">
        <f t="shared" si="5"/>
        <v>0</v>
      </c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7"/>
      <c r="AJ153" s="237"/>
      <c r="AK153" s="237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</row>
    <row r="154" spans="1:47" ht="19.5" thickBot="1" x14ac:dyDescent="0.35">
      <c r="A154" s="145" t="s">
        <v>149</v>
      </c>
      <c r="B154" s="139" t="s">
        <v>327</v>
      </c>
      <c r="C154" s="233">
        <v>618</v>
      </c>
      <c r="D154" s="145" t="s">
        <v>405</v>
      </c>
      <c r="E154" s="233">
        <v>0</v>
      </c>
      <c r="F154" s="233">
        <f t="shared" si="4"/>
        <v>0</v>
      </c>
      <c r="G154" s="233">
        <f t="shared" si="5"/>
        <v>0</v>
      </c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7"/>
      <c r="AJ154" s="237"/>
      <c r="AK154" s="237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</row>
    <row r="155" spans="1:47" ht="19.5" thickBot="1" x14ac:dyDescent="0.35">
      <c r="A155" s="145" t="s">
        <v>150</v>
      </c>
      <c r="B155" s="139" t="s">
        <v>328</v>
      </c>
      <c r="C155" s="233">
        <v>1236</v>
      </c>
      <c r="D155" s="145" t="s">
        <v>374</v>
      </c>
      <c r="E155" s="233">
        <v>0</v>
      </c>
      <c r="F155" s="233">
        <f t="shared" si="4"/>
        <v>0</v>
      </c>
      <c r="G155" s="233">
        <f t="shared" si="5"/>
        <v>0</v>
      </c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7"/>
      <c r="AJ155" s="237"/>
      <c r="AK155" s="237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</row>
    <row r="156" spans="1:47" ht="19.5" thickBot="1" x14ac:dyDescent="0.35">
      <c r="A156" s="145" t="s">
        <v>151</v>
      </c>
      <c r="B156" s="139" t="s">
        <v>329</v>
      </c>
      <c r="C156" s="233">
        <v>15110</v>
      </c>
      <c r="D156" s="145"/>
      <c r="E156" s="233">
        <f>15110+C157</f>
        <v>15865</v>
      </c>
      <c r="F156" s="233">
        <f t="shared" si="4"/>
        <v>15865</v>
      </c>
      <c r="G156" s="233">
        <f t="shared" si="5"/>
        <v>0</v>
      </c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>
        <v>15865</v>
      </c>
      <c r="S156" s="296"/>
      <c r="T156" s="296"/>
      <c r="U156" s="296"/>
      <c r="V156" s="296"/>
      <c r="W156" s="296"/>
      <c r="X156" s="29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7"/>
      <c r="AJ156" s="237"/>
      <c r="AK156" s="237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</row>
    <row r="157" spans="1:47" ht="19.5" thickBot="1" x14ac:dyDescent="0.35">
      <c r="A157" s="145" t="s">
        <v>152</v>
      </c>
      <c r="B157" s="139" t="s">
        <v>330</v>
      </c>
      <c r="C157" s="233">
        <v>755</v>
      </c>
      <c r="D157" s="145" t="s">
        <v>151</v>
      </c>
      <c r="E157" s="233">
        <v>0</v>
      </c>
      <c r="F157" s="233">
        <f t="shared" si="4"/>
        <v>0</v>
      </c>
      <c r="G157" s="233">
        <f t="shared" si="5"/>
        <v>0</v>
      </c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7"/>
      <c r="AJ157" s="237"/>
      <c r="AK157" s="237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</row>
    <row r="158" spans="1:47" ht="19.5" thickBot="1" x14ac:dyDescent="0.35">
      <c r="A158" s="145" t="s">
        <v>153</v>
      </c>
      <c r="B158" s="139" t="s">
        <v>331</v>
      </c>
      <c r="C158" s="233">
        <v>206</v>
      </c>
      <c r="D158" s="145" t="s">
        <v>405</v>
      </c>
      <c r="E158" s="233">
        <v>0</v>
      </c>
      <c r="F158" s="233">
        <f t="shared" si="4"/>
        <v>0</v>
      </c>
      <c r="G158" s="233">
        <f t="shared" si="5"/>
        <v>0</v>
      </c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7"/>
      <c r="AJ158" s="237"/>
      <c r="AK158" s="237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</row>
    <row r="159" spans="1:47" ht="19.5" thickBot="1" x14ac:dyDescent="0.35">
      <c r="A159" s="145" t="s">
        <v>154</v>
      </c>
      <c r="B159" s="139" t="s">
        <v>332</v>
      </c>
      <c r="C159" s="233">
        <v>275</v>
      </c>
      <c r="D159" s="145" t="s">
        <v>645</v>
      </c>
      <c r="E159" s="233">
        <v>0</v>
      </c>
      <c r="F159" s="233">
        <f t="shared" si="4"/>
        <v>0</v>
      </c>
      <c r="G159" s="233">
        <f t="shared" si="5"/>
        <v>0</v>
      </c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7"/>
      <c r="AJ159" s="237"/>
      <c r="AK159" s="237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</row>
    <row r="160" spans="1:47" ht="19.5" thickBot="1" x14ac:dyDescent="0.35">
      <c r="A160" s="145" t="s">
        <v>155</v>
      </c>
      <c r="B160" s="139" t="s">
        <v>333</v>
      </c>
      <c r="C160" s="233">
        <v>16895</v>
      </c>
      <c r="D160" s="145"/>
      <c r="E160" s="233">
        <v>16895</v>
      </c>
      <c r="F160" s="233">
        <f t="shared" si="4"/>
        <v>16895</v>
      </c>
      <c r="G160" s="233">
        <f t="shared" si="5"/>
        <v>0</v>
      </c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>
        <v>16895</v>
      </c>
      <c r="U160" s="296"/>
      <c r="V160" s="296"/>
      <c r="W160" s="296"/>
      <c r="X160" s="29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7"/>
      <c r="AJ160" s="237"/>
      <c r="AK160" s="237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</row>
    <row r="161" spans="1:47" ht="19.5" thickBot="1" x14ac:dyDescent="0.35">
      <c r="A161" s="145" t="s">
        <v>156</v>
      </c>
      <c r="B161" s="139" t="s">
        <v>334</v>
      </c>
      <c r="C161" s="233">
        <v>1168</v>
      </c>
      <c r="D161" s="145" t="s">
        <v>645</v>
      </c>
      <c r="E161" s="233">
        <v>0</v>
      </c>
      <c r="F161" s="233">
        <f t="shared" si="4"/>
        <v>0</v>
      </c>
      <c r="G161" s="233">
        <f t="shared" si="5"/>
        <v>0</v>
      </c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7"/>
      <c r="AJ161" s="237"/>
      <c r="AK161" s="237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</row>
    <row r="162" spans="1:47" ht="19.5" thickBot="1" x14ac:dyDescent="0.35">
      <c r="A162" s="145" t="s">
        <v>157</v>
      </c>
      <c r="B162" s="139" t="s">
        <v>335</v>
      </c>
      <c r="C162" s="233">
        <v>8379</v>
      </c>
      <c r="D162" s="145" t="s">
        <v>120</v>
      </c>
      <c r="E162" s="233">
        <v>0</v>
      </c>
      <c r="F162" s="233">
        <f t="shared" si="4"/>
        <v>0</v>
      </c>
      <c r="G162" s="233">
        <f t="shared" si="5"/>
        <v>0</v>
      </c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7"/>
      <c r="AJ162" s="237"/>
      <c r="AK162" s="237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</row>
    <row r="163" spans="1:47" ht="19.5" thickBot="1" x14ac:dyDescent="0.35">
      <c r="A163" s="145" t="s">
        <v>158</v>
      </c>
      <c r="B163" s="139" t="s">
        <v>336</v>
      </c>
      <c r="C163" s="233">
        <v>481</v>
      </c>
      <c r="D163" s="145" t="s">
        <v>645</v>
      </c>
      <c r="E163" s="233">
        <v>0</v>
      </c>
      <c r="F163" s="233">
        <f t="shared" si="4"/>
        <v>0</v>
      </c>
      <c r="G163" s="233">
        <f t="shared" si="5"/>
        <v>0</v>
      </c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7"/>
      <c r="AJ163" s="237"/>
      <c r="AK163" s="237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</row>
    <row r="164" spans="1:47" ht="19.5" thickBot="1" x14ac:dyDescent="0.35">
      <c r="A164" s="145" t="s">
        <v>159</v>
      </c>
      <c r="B164" s="139" t="s">
        <v>337</v>
      </c>
      <c r="C164" s="233">
        <v>1580</v>
      </c>
      <c r="D164" s="145" t="s">
        <v>373</v>
      </c>
      <c r="E164" s="233">
        <v>0</v>
      </c>
      <c r="F164" s="233">
        <f t="shared" si="4"/>
        <v>0</v>
      </c>
      <c r="G164" s="233">
        <f t="shared" si="5"/>
        <v>0</v>
      </c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7"/>
      <c r="AJ164" s="237"/>
      <c r="AK164" s="237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</row>
    <row r="165" spans="1:47" ht="19.5" thickBot="1" x14ac:dyDescent="0.35">
      <c r="A165" s="145" t="s">
        <v>160</v>
      </c>
      <c r="B165" s="139" t="s">
        <v>637</v>
      </c>
      <c r="C165" s="233">
        <v>0</v>
      </c>
      <c r="D165" s="145"/>
      <c r="E165" s="233">
        <v>0</v>
      </c>
      <c r="F165" s="233">
        <f t="shared" si="4"/>
        <v>0</v>
      </c>
      <c r="G165" s="233">
        <f t="shared" si="5"/>
        <v>0</v>
      </c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7"/>
      <c r="AJ165" s="237"/>
      <c r="AK165" s="237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</row>
    <row r="166" spans="1:47" ht="19.5" thickBot="1" x14ac:dyDescent="0.35">
      <c r="A166" s="145" t="s">
        <v>161</v>
      </c>
      <c r="B166" s="139" t="s">
        <v>338</v>
      </c>
      <c r="C166" s="233">
        <v>61744</v>
      </c>
      <c r="D166" s="145"/>
      <c r="E166" s="233">
        <v>61744</v>
      </c>
      <c r="F166" s="233">
        <f t="shared" si="4"/>
        <v>61744</v>
      </c>
      <c r="G166" s="233">
        <f t="shared" si="5"/>
        <v>0</v>
      </c>
      <c r="H166" s="296"/>
      <c r="I166" s="296"/>
      <c r="J166" s="296"/>
      <c r="K166" s="296"/>
      <c r="L166" s="296">
        <v>10158</v>
      </c>
      <c r="M166" s="296">
        <v>4775</v>
      </c>
      <c r="N166" s="296">
        <v>4775</v>
      </c>
      <c r="O166" s="296">
        <v>4775</v>
      </c>
      <c r="P166" s="296">
        <v>4776</v>
      </c>
      <c r="Q166" s="296">
        <v>4777</v>
      </c>
      <c r="R166" s="296">
        <v>4776</v>
      </c>
      <c r="S166" s="296">
        <v>4775</v>
      </c>
      <c r="T166" s="296">
        <v>4776</v>
      </c>
      <c r="U166" s="296">
        <v>9999</v>
      </c>
      <c r="V166" s="296"/>
      <c r="W166" s="296">
        <v>3382</v>
      </c>
      <c r="X166" s="29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7"/>
      <c r="AJ166" s="237"/>
      <c r="AK166" s="237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</row>
    <row r="167" spans="1:47" ht="19.5" thickBot="1" x14ac:dyDescent="0.35">
      <c r="A167" s="145" t="s">
        <v>162</v>
      </c>
      <c r="B167" s="139" t="s">
        <v>339</v>
      </c>
      <c r="C167" s="233">
        <v>0</v>
      </c>
      <c r="D167" s="145"/>
      <c r="E167" s="233">
        <v>0</v>
      </c>
      <c r="F167" s="233">
        <f t="shared" si="4"/>
        <v>0</v>
      </c>
      <c r="G167" s="233">
        <f t="shared" si="5"/>
        <v>0</v>
      </c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7"/>
      <c r="AJ167" s="237"/>
      <c r="AK167" s="237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</row>
    <row r="168" spans="1:47" ht="19.5" thickBot="1" x14ac:dyDescent="0.35">
      <c r="A168" s="145" t="s">
        <v>163</v>
      </c>
      <c r="B168" s="139" t="s">
        <v>340</v>
      </c>
      <c r="C168" s="233">
        <v>4121</v>
      </c>
      <c r="D168" s="145" t="s">
        <v>60</v>
      </c>
      <c r="E168" s="233">
        <v>0</v>
      </c>
      <c r="F168" s="233">
        <f t="shared" si="4"/>
        <v>0</v>
      </c>
      <c r="G168" s="233">
        <f t="shared" si="5"/>
        <v>0</v>
      </c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7"/>
      <c r="AJ168" s="237"/>
      <c r="AK168" s="237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</row>
    <row r="169" spans="1:47" ht="19.5" thickBot="1" x14ac:dyDescent="0.35">
      <c r="A169" s="145" t="s">
        <v>164</v>
      </c>
      <c r="B169" s="139" t="s">
        <v>341</v>
      </c>
      <c r="C169" s="233">
        <v>1511</v>
      </c>
      <c r="D169" s="145" t="s">
        <v>645</v>
      </c>
      <c r="E169" s="233">
        <v>0</v>
      </c>
      <c r="F169" s="233">
        <f t="shared" si="4"/>
        <v>0</v>
      </c>
      <c r="G169" s="233">
        <f t="shared" si="5"/>
        <v>0</v>
      </c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7"/>
      <c r="AJ169" s="237"/>
      <c r="AK169" s="237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</row>
    <row r="170" spans="1:47" ht="19.5" thickBot="1" x14ac:dyDescent="0.35">
      <c r="A170" s="145" t="s">
        <v>165</v>
      </c>
      <c r="B170" s="139" t="s">
        <v>342</v>
      </c>
      <c r="C170" s="233">
        <v>1717</v>
      </c>
      <c r="D170" s="145" t="s">
        <v>371</v>
      </c>
      <c r="E170" s="233">
        <v>0</v>
      </c>
      <c r="F170" s="233">
        <f t="shared" si="4"/>
        <v>0</v>
      </c>
      <c r="G170" s="233">
        <f t="shared" si="5"/>
        <v>0</v>
      </c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</row>
    <row r="171" spans="1:47" ht="19.5" thickBot="1" x14ac:dyDescent="0.35">
      <c r="A171" s="145" t="s">
        <v>166</v>
      </c>
      <c r="B171" s="139" t="s">
        <v>343</v>
      </c>
      <c r="C171" s="233">
        <v>69</v>
      </c>
      <c r="D171" s="145" t="s">
        <v>645</v>
      </c>
      <c r="E171" s="233">
        <v>0</v>
      </c>
      <c r="F171" s="233">
        <f t="shared" si="4"/>
        <v>0</v>
      </c>
      <c r="G171" s="233">
        <f t="shared" si="5"/>
        <v>0</v>
      </c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</row>
    <row r="172" spans="1:47" ht="19.5" thickBot="1" x14ac:dyDescent="0.35">
      <c r="A172" s="145" t="s">
        <v>167</v>
      </c>
      <c r="B172" s="139" t="s">
        <v>344</v>
      </c>
      <c r="C172" s="233">
        <v>755</v>
      </c>
      <c r="D172" s="145" t="s">
        <v>645</v>
      </c>
      <c r="E172" s="233">
        <v>0</v>
      </c>
      <c r="F172" s="233">
        <f t="shared" si="4"/>
        <v>0</v>
      </c>
      <c r="G172" s="233">
        <f t="shared" si="5"/>
        <v>0</v>
      </c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</row>
    <row r="173" spans="1:47" ht="19.5" thickBot="1" x14ac:dyDescent="0.35">
      <c r="A173" s="145" t="s">
        <v>168</v>
      </c>
      <c r="B173" s="139" t="s">
        <v>345</v>
      </c>
      <c r="C173" s="233">
        <v>69</v>
      </c>
      <c r="D173" s="145" t="s">
        <v>371</v>
      </c>
      <c r="E173" s="233">
        <v>0</v>
      </c>
      <c r="F173" s="233">
        <f t="shared" si="4"/>
        <v>0</v>
      </c>
      <c r="G173" s="233">
        <f t="shared" si="5"/>
        <v>0</v>
      </c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</row>
    <row r="174" spans="1:47" ht="19.5" thickBot="1" x14ac:dyDescent="0.35">
      <c r="A174" s="145" t="s">
        <v>169</v>
      </c>
      <c r="B174" s="139" t="s">
        <v>346</v>
      </c>
      <c r="C174" s="233">
        <v>26236</v>
      </c>
      <c r="D174" s="145" t="s">
        <v>372</v>
      </c>
      <c r="E174" s="233">
        <v>0</v>
      </c>
      <c r="F174" s="233">
        <f t="shared" si="4"/>
        <v>0</v>
      </c>
      <c r="G174" s="233">
        <f t="shared" si="5"/>
        <v>0</v>
      </c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</row>
    <row r="175" spans="1:47" ht="19.5" thickBot="1" x14ac:dyDescent="0.35">
      <c r="A175" s="145" t="s">
        <v>170</v>
      </c>
      <c r="B175" s="139" t="s">
        <v>347</v>
      </c>
      <c r="C175" s="233">
        <v>8242</v>
      </c>
      <c r="D175" s="145" t="s">
        <v>372</v>
      </c>
      <c r="E175" s="233">
        <v>0</v>
      </c>
      <c r="F175" s="233">
        <f t="shared" si="4"/>
        <v>0</v>
      </c>
      <c r="G175" s="233">
        <f t="shared" si="5"/>
        <v>0</v>
      </c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</row>
    <row r="176" spans="1:47" ht="19.5" thickBot="1" x14ac:dyDescent="0.35">
      <c r="A176" s="145" t="s">
        <v>171</v>
      </c>
      <c r="B176" s="139" t="s">
        <v>638</v>
      </c>
      <c r="C176" s="233">
        <v>25824</v>
      </c>
      <c r="D176" s="145"/>
      <c r="E176" s="233">
        <v>25824</v>
      </c>
      <c r="F176" s="233">
        <f t="shared" si="4"/>
        <v>25824</v>
      </c>
      <c r="G176" s="233">
        <f t="shared" si="5"/>
        <v>0</v>
      </c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>
        <v>25824</v>
      </c>
      <c r="T176" s="296"/>
      <c r="U176" s="296"/>
      <c r="V176" s="296"/>
      <c r="W176" s="296"/>
      <c r="X176" s="296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</row>
    <row r="177" spans="1:47" ht="19.5" thickBot="1" x14ac:dyDescent="0.35">
      <c r="A177" s="145" t="s">
        <v>172</v>
      </c>
      <c r="B177" s="139" t="s">
        <v>348</v>
      </c>
      <c r="C177" s="233">
        <v>8654</v>
      </c>
      <c r="D177" s="145" t="s">
        <v>372</v>
      </c>
      <c r="E177" s="233">
        <v>0</v>
      </c>
      <c r="F177" s="233">
        <f t="shared" si="4"/>
        <v>0</v>
      </c>
      <c r="G177" s="233">
        <f t="shared" si="5"/>
        <v>0</v>
      </c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</row>
    <row r="178" spans="1:47" ht="19.5" thickBot="1" x14ac:dyDescent="0.35">
      <c r="A178" s="145" t="s">
        <v>173</v>
      </c>
      <c r="B178" s="139" t="s">
        <v>349</v>
      </c>
      <c r="C178" s="233">
        <v>13942</v>
      </c>
      <c r="D178" s="145"/>
      <c r="E178" s="233">
        <v>13942</v>
      </c>
      <c r="F178" s="233">
        <f t="shared" si="4"/>
        <v>13942</v>
      </c>
      <c r="G178" s="233">
        <f t="shared" si="5"/>
        <v>0</v>
      </c>
      <c r="H178" s="296"/>
      <c r="I178" s="296"/>
      <c r="J178" s="296"/>
      <c r="K178" s="296"/>
      <c r="L178" s="296"/>
      <c r="M178" s="296">
        <v>6296</v>
      </c>
      <c r="N178" s="296"/>
      <c r="O178" s="296"/>
      <c r="P178" s="296">
        <v>4307</v>
      </c>
      <c r="Q178" s="296"/>
      <c r="R178" s="296"/>
      <c r="S178" s="296">
        <v>3339</v>
      </c>
      <c r="T178" s="296"/>
      <c r="U178" s="296"/>
      <c r="V178" s="296"/>
      <c r="W178" s="296"/>
      <c r="X178" s="296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</row>
    <row r="179" spans="1:47" ht="19.5" thickBot="1" x14ac:dyDescent="0.35">
      <c r="A179" s="145" t="s">
        <v>174</v>
      </c>
      <c r="B179" s="139" t="s">
        <v>350</v>
      </c>
      <c r="C179" s="233">
        <v>362770</v>
      </c>
      <c r="D179" s="145"/>
      <c r="E179" s="233">
        <v>362770</v>
      </c>
      <c r="F179" s="233">
        <f t="shared" si="4"/>
        <v>362770.00000000006</v>
      </c>
      <c r="G179" s="233">
        <f t="shared" si="5"/>
        <v>0</v>
      </c>
      <c r="H179" s="296"/>
      <c r="I179" s="296"/>
      <c r="J179" s="296"/>
      <c r="K179" s="296"/>
      <c r="L179" s="296">
        <v>20826</v>
      </c>
      <c r="M179" s="296">
        <v>20939</v>
      </c>
      <c r="N179" s="296"/>
      <c r="O179" s="296">
        <v>111486</v>
      </c>
      <c r="P179" s="296">
        <v>15428</v>
      </c>
      <c r="Q179" s="296">
        <v>20913</v>
      </c>
      <c r="R179" s="296">
        <v>28243</v>
      </c>
      <c r="S179" s="296">
        <v>48486.01</v>
      </c>
      <c r="T179" s="296">
        <v>16490.52</v>
      </c>
      <c r="U179" s="296"/>
      <c r="V179" s="296"/>
      <c r="W179" s="296">
        <v>33581.71</v>
      </c>
      <c r="X179" s="296">
        <v>46376.76</v>
      </c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</row>
    <row r="180" spans="1:47" ht="19.5" thickBot="1" x14ac:dyDescent="0.35">
      <c r="A180" s="145" t="s">
        <v>175</v>
      </c>
      <c r="B180" s="139" t="s">
        <v>351</v>
      </c>
      <c r="C180" s="233">
        <v>7555</v>
      </c>
      <c r="D180" s="145" t="s">
        <v>372</v>
      </c>
      <c r="E180" s="233">
        <v>0</v>
      </c>
      <c r="F180" s="233">
        <f t="shared" si="4"/>
        <v>0</v>
      </c>
      <c r="G180" s="233">
        <f t="shared" si="5"/>
        <v>0</v>
      </c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</row>
    <row r="181" spans="1:47" ht="19.5" thickBot="1" x14ac:dyDescent="0.35">
      <c r="A181" s="145" t="s">
        <v>176</v>
      </c>
      <c r="B181" s="139" t="s">
        <v>352</v>
      </c>
      <c r="C181" s="233">
        <v>42719</v>
      </c>
      <c r="D181" s="145"/>
      <c r="E181" s="233">
        <v>42719</v>
      </c>
      <c r="F181" s="233">
        <f t="shared" si="4"/>
        <v>42719</v>
      </c>
      <c r="G181" s="233">
        <f t="shared" si="5"/>
        <v>0</v>
      </c>
      <c r="H181" s="296"/>
      <c r="I181" s="296"/>
      <c r="J181" s="296"/>
      <c r="K181" s="296"/>
      <c r="L181" s="296"/>
      <c r="M181" s="296"/>
      <c r="N181" s="296">
        <v>10532</v>
      </c>
      <c r="O181" s="296">
        <v>3510</v>
      </c>
      <c r="P181" s="296"/>
      <c r="Q181" s="296">
        <f>3512+3511</f>
        <v>7023</v>
      </c>
      <c r="R181" s="296">
        <v>3510</v>
      </c>
      <c r="S181" s="296">
        <f>3991+3511</f>
        <v>7502</v>
      </c>
      <c r="T181" s="296"/>
      <c r="U181" s="296"/>
      <c r="V181" s="296">
        <v>4008</v>
      </c>
      <c r="W181" s="296">
        <v>6634</v>
      </c>
      <c r="X181" s="296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</row>
    <row r="182" spans="1:47" ht="19.5" thickBot="1" x14ac:dyDescent="0.35">
      <c r="A182" s="145" t="s">
        <v>177</v>
      </c>
      <c r="B182" s="139" t="s">
        <v>353</v>
      </c>
      <c r="C182" s="233">
        <v>8310</v>
      </c>
      <c r="D182" s="145" t="s">
        <v>372</v>
      </c>
      <c r="E182" s="233">
        <v>0</v>
      </c>
      <c r="F182" s="233">
        <f t="shared" si="4"/>
        <v>0</v>
      </c>
      <c r="G182" s="233">
        <f t="shared" si="5"/>
        <v>0</v>
      </c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</row>
    <row r="183" spans="1:47" ht="19.5" thickBot="1" x14ac:dyDescent="0.35">
      <c r="A183" s="145" t="s">
        <v>178</v>
      </c>
      <c r="B183" s="139" t="s">
        <v>354</v>
      </c>
      <c r="C183" s="233">
        <v>206</v>
      </c>
      <c r="D183" s="145" t="s">
        <v>372</v>
      </c>
      <c r="E183" s="233">
        <v>0</v>
      </c>
      <c r="F183" s="233">
        <f t="shared" si="4"/>
        <v>0</v>
      </c>
      <c r="G183" s="233">
        <f t="shared" si="5"/>
        <v>0</v>
      </c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</row>
    <row r="184" spans="1:47" ht="19.5" thickBot="1" x14ac:dyDescent="0.35">
      <c r="A184" s="145" t="s">
        <v>179</v>
      </c>
      <c r="B184" s="139" t="s">
        <v>355</v>
      </c>
      <c r="C184" s="233">
        <v>69</v>
      </c>
      <c r="D184" s="145" t="s">
        <v>372</v>
      </c>
      <c r="E184" s="233">
        <v>0</v>
      </c>
      <c r="F184" s="233">
        <f t="shared" si="4"/>
        <v>0</v>
      </c>
      <c r="G184" s="233">
        <f t="shared" si="5"/>
        <v>0</v>
      </c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</row>
    <row r="185" spans="1:47" ht="19.5" thickBot="1" x14ac:dyDescent="0.35">
      <c r="A185" s="145" t="s">
        <v>180</v>
      </c>
      <c r="B185" s="139" t="s">
        <v>356</v>
      </c>
      <c r="C185" s="233">
        <v>137</v>
      </c>
      <c r="D185" s="145" t="s">
        <v>372</v>
      </c>
      <c r="E185" s="233">
        <v>0</v>
      </c>
      <c r="F185" s="233">
        <f t="shared" si="4"/>
        <v>0</v>
      </c>
      <c r="G185" s="233">
        <f t="shared" si="5"/>
        <v>0</v>
      </c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</row>
    <row r="186" spans="1:47" ht="19.5" thickBot="1" x14ac:dyDescent="0.35">
      <c r="A186" s="145" t="s">
        <v>181</v>
      </c>
      <c r="B186" s="139" t="s">
        <v>357</v>
      </c>
      <c r="C186" s="233">
        <v>19093</v>
      </c>
      <c r="D186" s="145"/>
      <c r="E186" s="233">
        <v>19093</v>
      </c>
      <c r="F186" s="233">
        <f t="shared" si="4"/>
        <v>19093</v>
      </c>
      <c r="G186" s="233">
        <f t="shared" si="5"/>
        <v>0</v>
      </c>
      <c r="H186" s="296"/>
      <c r="I186" s="296"/>
      <c r="J186" s="296"/>
      <c r="K186" s="296"/>
      <c r="L186" s="296"/>
      <c r="M186" s="296"/>
      <c r="N186" s="296"/>
      <c r="O186" s="296">
        <v>8169</v>
      </c>
      <c r="P186" s="296"/>
      <c r="Q186" s="296"/>
      <c r="R186" s="296"/>
      <c r="S186" s="296">
        <v>2010</v>
      </c>
      <c r="T186" s="296"/>
      <c r="U186" s="296"/>
      <c r="V186" s="296"/>
      <c r="W186" s="296"/>
      <c r="X186" s="296"/>
      <c r="Y186" s="237"/>
      <c r="Z186" s="237"/>
      <c r="AA186" s="237"/>
      <c r="AB186" s="236">
        <v>8914</v>
      </c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</row>
    <row r="187" spans="1:47" ht="19.5" thickBot="1" x14ac:dyDescent="0.35">
      <c r="A187" s="145" t="s">
        <v>182</v>
      </c>
      <c r="B187" s="139" t="s">
        <v>358</v>
      </c>
      <c r="C187" s="233">
        <v>6937</v>
      </c>
      <c r="D187" s="145" t="s">
        <v>373</v>
      </c>
      <c r="E187" s="233">
        <v>0</v>
      </c>
      <c r="F187" s="233">
        <f t="shared" si="4"/>
        <v>0</v>
      </c>
      <c r="G187" s="233">
        <f t="shared" si="5"/>
        <v>0</v>
      </c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37"/>
      <c r="Z187" s="237"/>
      <c r="AA187" s="237"/>
      <c r="AB187" s="236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</row>
    <row r="188" spans="1:47" ht="19.5" thickBot="1" x14ac:dyDescent="0.35">
      <c r="A188" s="145" t="s">
        <v>183</v>
      </c>
      <c r="B188" s="139" t="s">
        <v>359</v>
      </c>
      <c r="C188" s="233">
        <v>2404</v>
      </c>
      <c r="D188" s="145" t="s">
        <v>371</v>
      </c>
      <c r="E188" s="233">
        <v>0</v>
      </c>
      <c r="F188" s="233">
        <f t="shared" si="4"/>
        <v>0</v>
      </c>
      <c r="G188" s="233">
        <f t="shared" si="5"/>
        <v>0</v>
      </c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37"/>
      <c r="Z188" s="237"/>
      <c r="AA188" s="237"/>
      <c r="AB188" s="236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</row>
    <row r="189" spans="1:47" ht="19.5" thickBot="1" x14ac:dyDescent="0.35">
      <c r="A189" s="145" t="s">
        <v>184</v>
      </c>
      <c r="B189" s="139" t="s">
        <v>360</v>
      </c>
      <c r="C189" s="233">
        <v>69</v>
      </c>
      <c r="D189" s="145" t="s">
        <v>371</v>
      </c>
      <c r="E189" s="233">
        <v>0</v>
      </c>
      <c r="F189" s="233">
        <f t="shared" si="4"/>
        <v>0</v>
      </c>
      <c r="G189" s="233">
        <f t="shared" si="5"/>
        <v>0</v>
      </c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37"/>
      <c r="Z189" s="237"/>
      <c r="AA189" s="237"/>
      <c r="AB189" s="236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</row>
    <row r="190" spans="1:47" ht="19.5" thickBot="1" x14ac:dyDescent="0.35">
      <c r="A190" s="145" t="s">
        <v>407</v>
      </c>
      <c r="B190" s="139" t="s">
        <v>576</v>
      </c>
      <c r="C190" s="233">
        <v>231865</v>
      </c>
      <c r="D190" s="145"/>
      <c r="E190" s="233">
        <f>C190</f>
        <v>231865</v>
      </c>
      <c r="F190" s="233">
        <f t="shared" si="4"/>
        <v>231865</v>
      </c>
      <c r="G190" s="233">
        <f t="shared" si="5"/>
        <v>0</v>
      </c>
      <c r="H190" s="296"/>
      <c r="I190" s="296"/>
      <c r="J190" s="296"/>
      <c r="K190" s="296"/>
      <c r="L190" s="296"/>
      <c r="M190" s="296"/>
      <c r="N190" s="296">
        <v>6074</v>
      </c>
      <c r="O190" s="296">
        <v>45596</v>
      </c>
      <c r="P190" s="302">
        <v>22717</v>
      </c>
      <c r="Q190" s="296">
        <v>15196</v>
      </c>
      <c r="R190" s="303">
        <v>7425</v>
      </c>
      <c r="S190" s="302">
        <f>20949</f>
        <v>20949</v>
      </c>
      <c r="T190" s="304">
        <f>3423+21918</f>
        <v>25341</v>
      </c>
      <c r="U190" s="296">
        <v>4237</v>
      </c>
      <c r="V190" s="296"/>
      <c r="W190" s="296"/>
      <c r="X190" s="296"/>
      <c r="Y190" s="237">
        <v>4479</v>
      </c>
      <c r="Z190" s="237">
        <v>4267</v>
      </c>
      <c r="AA190" s="236">
        <v>1340</v>
      </c>
      <c r="AB190" s="236">
        <v>18614</v>
      </c>
      <c r="AC190" s="237">
        <v>20758</v>
      </c>
      <c r="AD190" s="237">
        <v>15988</v>
      </c>
      <c r="AE190" s="236">
        <v>11255</v>
      </c>
      <c r="AF190" s="236">
        <v>7629</v>
      </c>
      <c r="AG190" s="237"/>
      <c r="AH190" s="237"/>
      <c r="AI190" s="237"/>
      <c r="AJ190" s="237"/>
      <c r="AK190" s="237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</row>
    <row r="191" spans="1:47" ht="19.5" thickBot="1" x14ac:dyDescent="0.35">
      <c r="A191" s="145" t="s">
        <v>371</v>
      </c>
      <c r="B191" s="139" t="s">
        <v>375</v>
      </c>
      <c r="C191" s="233">
        <v>0</v>
      </c>
      <c r="D191" s="145"/>
      <c r="E191" s="233">
        <v>47321</v>
      </c>
      <c r="F191" s="233">
        <f t="shared" si="4"/>
        <v>47321.000000000007</v>
      </c>
      <c r="G191" s="233">
        <f t="shared" si="5"/>
        <v>0</v>
      </c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>
        <v>7514</v>
      </c>
      <c r="S191" s="296">
        <v>6694</v>
      </c>
      <c r="T191" s="296">
        <v>12969</v>
      </c>
      <c r="U191" s="296"/>
      <c r="V191" s="296"/>
      <c r="W191" s="296"/>
      <c r="X191" s="296">
        <v>8623.52</v>
      </c>
      <c r="Y191" s="237">
        <v>2527.44</v>
      </c>
      <c r="Z191" s="236">
        <v>2246.5100000000002</v>
      </c>
      <c r="AA191" s="236">
        <v>1501.84</v>
      </c>
      <c r="AB191" s="236">
        <v>2418.79</v>
      </c>
      <c r="AC191" s="237">
        <v>2825.9</v>
      </c>
      <c r="AD191" s="237"/>
      <c r="AE191" s="237"/>
      <c r="AF191" s="237"/>
      <c r="AG191" s="237"/>
      <c r="AH191" s="237"/>
      <c r="AI191" s="237"/>
      <c r="AJ191" s="237"/>
      <c r="AK191" s="237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</row>
    <row r="192" spans="1:47" ht="16.5" thickBot="1" x14ac:dyDescent="0.3">
      <c r="A192" s="145" t="s">
        <v>372</v>
      </c>
      <c r="B192" s="139" t="s">
        <v>627</v>
      </c>
      <c r="C192" s="233">
        <v>0</v>
      </c>
      <c r="D192" s="145"/>
      <c r="E192" s="233">
        <v>87911</v>
      </c>
      <c r="F192" s="233">
        <f t="shared" si="4"/>
        <v>87949.56</v>
      </c>
      <c r="G192" s="233">
        <f t="shared" si="5"/>
        <v>-38.559999999997672</v>
      </c>
      <c r="H192" s="296"/>
      <c r="I192" s="296"/>
      <c r="J192" s="296"/>
      <c r="K192" s="296"/>
      <c r="L192" s="296"/>
      <c r="M192" s="296"/>
      <c r="N192" s="296"/>
      <c r="O192" s="296"/>
      <c r="P192" s="296">
        <v>1514</v>
      </c>
      <c r="Q192" s="296">
        <v>15000</v>
      </c>
      <c r="R192" s="296">
        <v>7000</v>
      </c>
      <c r="S192" s="296">
        <v>13500</v>
      </c>
      <c r="T192" s="296">
        <v>5000</v>
      </c>
      <c r="U192" s="296">
        <v>3328</v>
      </c>
      <c r="V192" s="296">
        <v>6054</v>
      </c>
      <c r="W192" s="296">
        <v>6361</v>
      </c>
      <c r="X192" s="296">
        <v>7985</v>
      </c>
      <c r="Y192" s="237">
        <v>1348</v>
      </c>
      <c r="Z192" s="236">
        <v>2270</v>
      </c>
      <c r="AA192" s="236">
        <v>13367</v>
      </c>
      <c r="AB192" s="236">
        <v>5184</v>
      </c>
      <c r="AC192" s="237">
        <v>38.56</v>
      </c>
      <c r="AD192" s="237"/>
      <c r="AE192" s="237"/>
      <c r="AF192" s="237"/>
      <c r="AG192" s="237"/>
      <c r="AH192" s="237"/>
      <c r="AI192" s="237"/>
      <c r="AJ192" s="237"/>
      <c r="AK192" s="237"/>
      <c r="AL192" s="307"/>
      <c r="AM192" s="307"/>
      <c r="AN192" s="307"/>
      <c r="AO192" s="307"/>
      <c r="AP192" s="307"/>
      <c r="AQ192" s="307"/>
      <c r="AR192" s="307"/>
      <c r="AS192" s="307"/>
      <c r="AT192" s="307"/>
      <c r="AU192" s="307"/>
    </row>
    <row r="193" spans="1:47" ht="19.5" thickBot="1" x14ac:dyDescent="0.35">
      <c r="A193" s="145" t="s">
        <v>373</v>
      </c>
      <c r="B193" s="139" t="s">
        <v>377</v>
      </c>
      <c r="C193" s="233">
        <v>0</v>
      </c>
      <c r="D193" s="145"/>
      <c r="E193" s="233">
        <v>17582</v>
      </c>
      <c r="F193" s="233">
        <f t="shared" si="4"/>
        <v>17582</v>
      </c>
      <c r="G193" s="233">
        <f t="shared" si="5"/>
        <v>0</v>
      </c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>
        <f>345+10437</f>
        <v>10782</v>
      </c>
      <c r="T193" s="296">
        <v>6800</v>
      </c>
      <c r="U193" s="296"/>
      <c r="V193" s="296"/>
      <c r="W193" s="296"/>
      <c r="X193" s="296"/>
      <c r="Y193" s="237"/>
      <c r="Z193" s="237"/>
      <c r="AA193" s="236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</row>
    <row r="194" spans="1:47" ht="19.5" thickBot="1" x14ac:dyDescent="0.35">
      <c r="A194" s="145" t="s">
        <v>405</v>
      </c>
      <c r="B194" s="139" t="s">
        <v>394</v>
      </c>
      <c r="C194" s="233">
        <v>0</v>
      </c>
      <c r="D194" s="145"/>
      <c r="E194" s="233">
        <v>15041</v>
      </c>
      <c r="F194" s="233">
        <f t="shared" si="4"/>
        <v>15041</v>
      </c>
      <c r="G194" s="233">
        <f t="shared" si="5"/>
        <v>0</v>
      </c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>
        <f>2771</f>
        <v>2771</v>
      </c>
      <c r="U194" s="296">
        <v>7746.55</v>
      </c>
      <c r="V194" s="296"/>
      <c r="W194" s="296"/>
      <c r="X194" s="296"/>
      <c r="Y194" s="237">
        <v>3527.76</v>
      </c>
      <c r="Z194" s="237"/>
      <c r="AA194" s="236">
        <v>370.41</v>
      </c>
      <c r="AB194" s="237"/>
      <c r="AC194" s="237"/>
      <c r="AD194" s="237"/>
      <c r="AE194" s="237"/>
      <c r="AF194" s="237"/>
      <c r="AG194" s="237">
        <v>625.28</v>
      </c>
      <c r="AH194" s="237"/>
      <c r="AI194" s="237"/>
      <c r="AJ194" s="237"/>
      <c r="AK194" s="237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</row>
    <row r="195" spans="1:47" ht="19.5" thickBot="1" x14ac:dyDescent="0.35">
      <c r="A195" s="145" t="s">
        <v>406</v>
      </c>
      <c r="B195" s="139" t="s">
        <v>396</v>
      </c>
      <c r="C195" s="233">
        <v>0</v>
      </c>
      <c r="D195" s="145"/>
      <c r="E195" s="233">
        <v>25549</v>
      </c>
      <c r="F195" s="233">
        <f t="shared" si="4"/>
        <v>25549</v>
      </c>
      <c r="G195" s="233">
        <f t="shared" si="5"/>
        <v>0</v>
      </c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>
        <v>222</v>
      </c>
      <c r="V195" s="296"/>
      <c r="W195" s="296"/>
      <c r="X195" s="296"/>
      <c r="Y195" s="237"/>
      <c r="Z195" s="237"/>
      <c r="AA195" s="237"/>
      <c r="AB195" s="237"/>
      <c r="AC195" s="237"/>
      <c r="AD195" s="237"/>
      <c r="AE195" s="237"/>
      <c r="AF195" s="236">
        <v>25327</v>
      </c>
      <c r="AG195" s="237"/>
      <c r="AH195" s="237"/>
      <c r="AI195" s="237"/>
      <c r="AJ195" s="237"/>
      <c r="AK195" s="237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</row>
    <row r="196" spans="1:47" ht="16.5" thickBot="1" x14ac:dyDescent="0.3">
      <c r="A196" s="145" t="s">
        <v>374</v>
      </c>
      <c r="B196" s="139" t="s">
        <v>378</v>
      </c>
      <c r="C196" s="233">
        <v>0</v>
      </c>
      <c r="D196" s="145"/>
      <c r="E196" s="233">
        <v>17445</v>
      </c>
      <c r="F196" s="233">
        <f t="shared" si="4"/>
        <v>17445</v>
      </c>
      <c r="G196" s="233">
        <f t="shared" si="5"/>
        <v>0</v>
      </c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>
        <v>17444</v>
      </c>
      <c r="W196" s="296"/>
      <c r="X196" s="296"/>
      <c r="Y196" s="237"/>
      <c r="Z196" s="237"/>
      <c r="AA196" s="237"/>
      <c r="AB196" s="237"/>
      <c r="AC196" s="237"/>
      <c r="AD196" s="237"/>
      <c r="AE196" s="237"/>
      <c r="AF196" s="237"/>
      <c r="AG196" s="237">
        <v>1</v>
      </c>
      <c r="AH196" s="237"/>
      <c r="AI196" s="237"/>
      <c r="AJ196" s="237"/>
      <c r="AK196" s="237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</row>
    <row r="197" spans="1:47" thickBot="1" x14ac:dyDescent="0.3">
      <c r="C197" s="231"/>
      <c r="E197" s="231"/>
      <c r="F197" s="231"/>
      <c r="G197" s="231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s="185" customFormat="1" ht="16.5" thickBot="1" x14ac:dyDescent="0.3">
      <c r="A198" s="184" t="s">
        <v>639</v>
      </c>
      <c r="B198" s="139"/>
      <c r="C198" s="234">
        <f>SUM(C12:C196)</f>
        <v>8801472</v>
      </c>
      <c r="D198" s="139"/>
      <c r="E198" s="234">
        <f t="shared" ref="E198:AU198" si="6">SUM(E12:E196)</f>
        <v>8752055</v>
      </c>
      <c r="F198" s="234">
        <f t="shared" si="6"/>
        <v>8752055.0000000019</v>
      </c>
      <c r="G198" s="234">
        <f t="shared" si="6"/>
        <v>1.8189894035458565E-12</v>
      </c>
      <c r="H198" s="232">
        <f t="shared" si="6"/>
        <v>0</v>
      </c>
      <c r="I198" s="232">
        <f t="shared" si="6"/>
        <v>0</v>
      </c>
      <c r="J198" s="232">
        <f t="shared" si="6"/>
        <v>0</v>
      </c>
      <c r="K198" s="232">
        <f t="shared" si="6"/>
        <v>0</v>
      </c>
      <c r="L198" s="232">
        <f t="shared" si="6"/>
        <v>125466</v>
      </c>
      <c r="M198" s="232">
        <f t="shared" si="6"/>
        <v>115836</v>
      </c>
      <c r="N198" s="232">
        <f t="shared" si="6"/>
        <v>602216</v>
      </c>
      <c r="O198" s="232">
        <f t="shared" si="6"/>
        <v>672463</v>
      </c>
      <c r="P198" s="232">
        <f>SUM(P13:P196)</f>
        <v>352584</v>
      </c>
      <c r="Q198" s="232">
        <f t="shared" si="6"/>
        <v>819966</v>
      </c>
      <c r="R198" s="232">
        <f t="shared" si="6"/>
        <v>686329</v>
      </c>
      <c r="S198" s="232">
        <f t="shared" si="6"/>
        <v>1033062.01</v>
      </c>
      <c r="T198" s="232">
        <f t="shared" si="6"/>
        <v>416914.85</v>
      </c>
      <c r="U198" s="232">
        <f t="shared" si="6"/>
        <v>290201.87999999995</v>
      </c>
      <c r="V198" s="232">
        <f t="shared" si="6"/>
        <v>189223.19</v>
      </c>
      <c r="W198" s="232">
        <f t="shared" si="6"/>
        <v>349859.38</v>
      </c>
      <c r="X198" s="232">
        <f t="shared" si="6"/>
        <v>767133.10000000009</v>
      </c>
      <c r="Y198" s="232">
        <f t="shared" si="6"/>
        <v>139940</v>
      </c>
      <c r="Z198" s="232">
        <f t="shared" si="6"/>
        <v>914576.96999999986</v>
      </c>
      <c r="AA198" s="232">
        <f t="shared" si="6"/>
        <v>717827.81</v>
      </c>
      <c r="AB198" s="232">
        <f t="shared" si="6"/>
        <v>141270.62000000002</v>
      </c>
      <c r="AC198" s="232">
        <f t="shared" si="6"/>
        <v>97542.79</v>
      </c>
      <c r="AD198" s="232">
        <f t="shared" si="6"/>
        <v>93481.600000000006</v>
      </c>
      <c r="AE198" s="232">
        <f t="shared" si="6"/>
        <v>147151.51</v>
      </c>
      <c r="AF198" s="232">
        <f t="shared" si="6"/>
        <v>55627.229999999996</v>
      </c>
      <c r="AG198" s="232">
        <f t="shared" si="6"/>
        <v>1883.93</v>
      </c>
      <c r="AH198" s="232">
        <f t="shared" si="6"/>
        <v>10444</v>
      </c>
      <c r="AI198" s="232">
        <f t="shared" si="6"/>
        <v>736.78</v>
      </c>
      <c r="AJ198" s="232">
        <f t="shared" si="6"/>
        <v>10167</v>
      </c>
      <c r="AK198" s="232">
        <f t="shared" si="6"/>
        <v>0</v>
      </c>
      <c r="AL198" s="232">
        <f t="shared" si="6"/>
        <v>0</v>
      </c>
      <c r="AM198" s="232">
        <f t="shared" si="6"/>
        <v>0</v>
      </c>
      <c r="AN198" s="232">
        <f t="shared" si="6"/>
        <v>150.35</v>
      </c>
      <c r="AO198" s="232">
        <f t="shared" si="6"/>
        <v>0</v>
      </c>
      <c r="AP198" s="232">
        <f t="shared" si="6"/>
        <v>0</v>
      </c>
      <c r="AQ198" s="232">
        <f t="shared" si="6"/>
        <v>0</v>
      </c>
      <c r="AR198" s="232"/>
      <c r="AS198" s="232"/>
      <c r="AT198" s="232"/>
      <c r="AU198" s="232">
        <f t="shared" si="6"/>
        <v>0</v>
      </c>
    </row>
    <row r="199" spans="1:47" x14ac:dyDescent="0.25"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x14ac:dyDescent="0.25">
      <c r="G200" s="231"/>
      <c r="P200" s="237">
        <f>P198-P190</f>
        <v>329867</v>
      </c>
      <c r="S200" s="237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47" x14ac:dyDescent="0.25">
      <c r="C201" s="183"/>
      <c r="F201" s="231"/>
      <c r="M201" s="197">
        <f>115898-M198</f>
        <v>62</v>
      </c>
      <c r="S201" s="237">
        <f>1022579.01-G200</f>
        <v>1022579.01</v>
      </c>
      <c r="T201" s="237"/>
      <c r="U201" s="237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47" x14ac:dyDescent="0.25">
      <c r="R202" s="237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47" x14ac:dyDescent="0.25">
      <c r="R203" s="237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47" x14ac:dyDescent="0.25"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47" x14ac:dyDescent="0.25"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47" x14ac:dyDescent="0.25">
      <c r="R206" s="237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47" x14ac:dyDescent="0.25"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1:47" x14ac:dyDescent="0.25"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 spans="18:47" x14ac:dyDescent="0.25">
      <c r="AL209" s="9"/>
      <c r="AM209" s="9"/>
      <c r="AN209" s="9"/>
      <c r="AO209" s="9"/>
      <c r="AP209" s="9"/>
      <c r="AQ209" s="9"/>
      <c r="AR209" s="9"/>
      <c r="AS209" s="9"/>
      <c r="AT209" s="9"/>
      <c r="AU209" s="9"/>
    </row>
    <row r="210" spans="18:47" x14ac:dyDescent="0.25"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 spans="18:47" x14ac:dyDescent="0.25">
      <c r="R211" s="237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8:47" x14ac:dyDescent="0.25"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8:47" x14ac:dyDescent="0.25"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8:47" x14ac:dyDescent="0.25"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8:47" x14ac:dyDescent="0.25"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8:47" x14ac:dyDescent="0.25"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8:47" x14ac:dyDescent="0.25"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8:47" x14ac:dyDescent="0.25"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8:47" x14ac:dyDescent="0.25"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8:47" x14ac:dyDescent="0.25"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8:47" x14ac:dyDescent="0.25"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8:47" x14ac:dyDescent="0.25"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8:47" x14ac:dyDescent="0.25"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</sheetData>
  <sheetProtection algorithmName="SHA-512" hashValue="iJF+EcYDvCOns/kqd4mNUdcZyJ53UJz8xnkSN1PKRyhXnuIR5zrnDEbXoNDhoYkU3V6WSY2VxWylgP6lqZbvUw==" saltValue="Mb+dx9hxIqGptXG0o1kCgg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66CCFF"/>
  </sheetPr>
  <dimension ref="A1:AW51"/>
  <sheetViews>
    <sheetView tabSelected="1" workbookViewId="0">
      <pane xSplit="7" ySplit="11" topLeftCell="AT33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Y16" sqref="AY16"/>
    </sheetView>
  </sheetViews>
  <sheetFormatPr defaultColWidth="9.140625" defaultRowHeight="15" x14ac:dyDescent="0.25"/>
  <cols>
    <col min="1" max="1" width="9.140625" style="153"/>
    <col min="2" max="2" width="29.42578125" style="153" bestFit="1" customWidth="1"/>
    <col min="3" max="3" width="16" style="2" customWidth="1"/>
    <col min="4" max="4" width="16" style="141" customWidth="1"/>
    <col min="5" max="5" width="16" style="7" customWidth="1"/>
    <col min="6" max="6" width="16" style="2" customWidth="1"/>
    <col min="7" max="7" width="37.140625" style="2" customWidth="1"/>
    <col min="8" max="34" width="15.7109375" style="2" customWidth="1"/>
    <col min="35" max="39" width="16.42578125" style="2" customWidth="1"/>
    <col min="40" max="40" width="12.7109375" style="2" customWidth="1"/>
    <col min="41" max="41" width="16.28515625" style="2" customWidth="1"/>
    <col min="42" max="42" width="12.140625" style="2" customWidth="1"/>
    <col min="43" max="43" width="13.140625" style="2" customWidth="1"/>
    <col min="44" max="45" width="13.140625" style="142" customWidth="1"/>
    <col min="46" max="46" width="12.5703125" style="2" customWidth="1"/>
    <col min="47" max="48" width="12.5703125" style="142" customWidth="1"/>
    <col min="49" max="16384" width="9.140625" style="2"/>
  </cols>
  <sheetData>
    <row r="1" spans="1:49" ht="21" x14ac:dyDescent="0.35">
      <c r="A1" s="148" t="s">
        <v>0</v>
      </c>
      <c r="B1" s="149"/>
      <c r="C1" s="14" t="s">
        <v>388</v>
      </c>
      <c r="D1" s="137"/>
      <c r="E1" s="14"/>
      <c r="F1" s="12"/>
      <c r="G1" s="15"/>
      <c r="H1" s="16"/>
      <c r="I1" s="16"/>
      <c r="J1" s="14" t="str">
        <f>C1</f>
        <v>Title III-A SAI Formula</v>
      </c>
      <c r="K1" s="14"/>
      <c r="L1" s="12"/>
      <c r="M1" s="12"/>
      <c r="N1" s="15"/>
      <c r="O1" s="15"/>
      <c r="P1" s="85" t="str">
        <f>C1</f>
        <v>Title III-A SAI Formula</v>
      </c>
      <c r="Q1" s="16"/>
      <c r="R1" s="14"/>
      <c r="S1" s="14"/>
      <c r="T1" s="12"/>
      <c r="U1" s="12"/>
      <c r="V1" s="85" t="str">
        <f>C1</f>
        <v>Title III-A SAI Formula</v>
      </c>
      <c r="W1" s="15"/>
      <c r="X1" s="16"/>
      <c r="Y1" s="16"/>
      <c r="Z1" s="14"/>
      <c r="AA1" s="14"/>
      <c r="AB1" s="85" t="str">
        <f>C1</f>
        <v>Title III-A SAI Formula</v>
      </c>
      <c r="AC1" s="12"/>
      <c r="AD1" s="15"/>
      <c r="AE1" s="15"/>
      <c r="AF1" s="16"/>
      <c r="AG1" s="85" t="str">
        <f>C1</f>
        <v>Title III-A SAI Formula</v>
      </c>
      <c r="AH1" s="14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</row>
    <row r="2" spans="1:49" ht="15.75" x14ac:dyDescent="0.25">
      <c r="A2" s="150" t="s">
        <v>1</v>
      </c>
      <c r="B2" s="149"/>
      <c r="C2" s="18">
        <v>84.364999999999995</v>
      </c>
      <c r="D2" s="140"/>
      <c r="E2" s="18"/>
      <c r="F2" s="17"/>
      <c r="G2" s="19"/>
      <c r="H2" s="16"/>
      <c r="I2" s="16"/>
      <c r="J2" s="17" t="str">
        <f>"FY"&amp;C4</f>
        <v>FY2018-2019</v>
      </c>
      <c r="K2" s="17"/>
      <c r="L2" s="91"/>
      <c r="M2" s="20"/>
      <c r="N2" s="19"/>
      <c r="O2" s="19"/>
      <c r="P2" s="88" t="str">
        <f>"FY"&amp;C4</f>
        <v>FY2018-2019</v>
      </c>
      <c r="Q2" s="19"/>
      <c r="R2" s="17"/>
      <c r="S2" s="17"/>
      <c r="T2" s="20"/>
      <c r="U2" s="20"/>
      <c r="V2" s="88" t="str">
        <f>"FY"&amp;C4</f>
        <v>FY2018-2019</v>
      </c>
      <c r="W2" s="19"/>
      <c r="X2" s="19"/>
      <c r="Y2" s="19"/>
      <c r="Z2" s="17"/>
      <c r="AA2" s="17"/>
      <c r="AB2" s="88" t="str">
        <f>"FY"&amp;C4</f>
        <v>FY2018-2019</v>
      </c>
      <c r="AC2" s="20"/>
      <c r="AD2" s="19"/>
      <c r="AE2" s="19"/>
      <c r="AF2" s="19"/>
      <c r="AG2" s="88" t="str">
        <f>"FY"&amp;C4</f>
        <v>FY2018-2019</v>
      </c>
      <c r="AH2" s="17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</row>
    <row r="3" spans="1:49" ht="15.75" x14ac:dyDescent="0.25">
      <c r="A3" s="150" t="s">
        <v>3</v>
      </c>
      <c r="B3" s="149"/>
      <c r="C3" s="20">
        <v>7365</v>
      </c>
      <c r="D3" s="138"/>
      <c r="E3" s="20"/>
      <c r="F3" s="17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49" ht="21" x14ac:dyDescent="0.35">
      <c r="A4" s="150" t="s">
        <v>2</v>
      </c>
      <c r="B4" s="149"/>
      <c r="C4" s="85" t="s">
        <v>620</v>
      </c>
      <c r="D4" s="138"/>
      <c r="E4" s="20"/>
      <c r="F4" s="19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</row>
    <row r="5" spans="1:49" ht="15.75" x14ac:dyDescent="0.25">
      <c r="A5" s="150" t="s">
        <v>397</v>
      </c>
      <c r="B5" s="149"/>
      <c r="C5" s="74" t="s">
        <v>660</v>
      </c>
      <c r="D5" s="138"/>
      <c r="E5" s="17"/>
      <c r="F5" s="17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</row>
    <row r="6" spans="1:49" ht="15.75" x14ac:dyDescent="0.25">
      <c r="A6" s="150" t="s">
        <v>4</v>
      </c>
      <c r="B6" s="149"/>
      <c r="C6" s="74" t="s">
        <v>365</v>
      </c>
      <c r="D6" s="138"/>
      <c r="E6" s="17"/>
      <c r="F6" s="17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</row>
    <row r="7" spans="1:49" ht="15.75" x14ac:dyDescent="0.25">
      <c r="A7" s="150"/>
      <c r="B7" s="149"/>
      <c r="C7" s="17"/>
      <c r="D7" s="138"/>
      <c r="E7" s="17"/>
      <c r="F7" s="17"/>
      <c r="G7" s="21"/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</row>
    <row r="8" spans="1:49" ht="15.75" x14ac:dyDescent="0.25">
      <c r="A8" s="150" t="s">
        <v>379</v>
      </c>
      <c r="B8" s="149"/>
      <c r="C8" s="88" t="s">
        <v>605</v>
      </c>
      <c r="D8" s="138"/>
      <c r="E8" s="17"/>
      <c r="F8" s="17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</row>
    <row r="9" spans="1:49" ht="15.75" x14ac:dyDescent="0.25">
      <c r="A9" s="150" t="s">
        <v>380</v>
      </c>
      <c r="B9" s="149"/>
      <c r="C9" s="17" t="s">
        <v>381</v>
      </c>
      <c r="D9" s="138"/>
      <c r="E9" s="17"/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</row>
    <row r="10" spans="1:49" s="7" customFormat="1" ht="16.5" thickBot="1" x14ac:dyDescent="0.3">
      <c r="A10" s="150" t="s">
        <v>398</v>
      </c>
      <c r="B10" s="149"/>
      <c r="C10" s="88" t="s">
        <v>676</v>
      </c>
      <c r="D10" s="138"/>
      <c r="E10" s="17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</row>
    <row r="11" spans="1:49" s="3" customFormat="1" ht="45.75" thickBot="1" x14ac:dyDescent="0.3">
      <c r="A11" s="151" t="s">
        <v>366</v>
      </c>
      <c r="B11" s="133" t="s">
        <v>367</v>
      </c>
      <c r="C11" s="47" t="s">
        <v>368</v>
      </c>
      <c r="D11" s="114" t="s">
        <v>655</v>
      </c>
      <c r="E11" s="48" t="s">
        <v>646</v>
      </c>
      <c r="F11" s="46" t="s">
        <v>369</v>
      </c>
      <c r="G11" s="56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671</v>
      </c>
      <c r="AU11" s="107" t="s">
        <v>674</v>
      </c>
      <c r="AV11" s="107" t="s">
        <v>675</v>
      </c>
      <c r="AW11" s="107" t="s">
        <v>653</v>
      </c>
    </row>
    <row r="12" spans="1:49" s="7" customFormat="1" ht="18" customHeight="1" thickBot="1" x14ac:dyDescent="0.3">
      <c r="A12" s="152" t="s">
        <v>8</v>
      </c>
      <c r="B12" s="155" t="s">
        <v>186</v>
      </c>
      <c r="C12" s="198">
        <v>13946</v>
      </c>
      <c r="D12" s="145"/>
      <c r="E12" s="198">
        <v>13946</v>
      </c>
      <c r="F12" s="198">
        <f>SUM(H12:AV12)</f>
        <v>13946</v>
      </c>
      <c r="G12" s="198">
        <f>E12-F12</f>
        <v>0</v>
      </c>
      <c r="H12" s="211"/>
      <c r="I12" s="211"/>
      <c r="J12" s="211"/>
      <c r="K12" s="211"/>
      <c r="L12" s="211"/>
      <c r="M12" s="211"/>
      <c r="N12" s="211">
        <v>1613</v>
      </c>
      <c r="O12" s="211">
        <v>435</v>
      </c>
      <c r="P12" s="211">
        <v>2269</v>
      </c>
      <c r="Q12" s="211">
        <v>225</v>
      </c>
      <c r="R12" s="211"/>
      <c r="S12" s="211"/>
      <c r="T12" s="211"/>
      <c r="U12" s="211">
        <v>2200</v>
      </c>
      <c r="V12" s="211"/>
      <c r="W12" s="211"/>
      <c r="X12" s="211"/>
      <c r="Y12" s="211">
        <v>6031.58</v>
      </c>
      <c r="Z12" s="211">
        <v>1172.42</v>
      </c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R12" s="142"/>
      <c r="AS12" s="142"/>
      <c r="AU12" s="142"/>
      <c r="AV12" s="142"/>
    </row>
    <row r="13" spans="1:49" ht="18" customHeight="1" thickBot="1" x14ac:dyDescent="0.3">
      <c r="A13" s="152" t="s">
        <v>9</v>
      </c>
      <c r="B13" s="155" t="s">
        <v>187</v>
      </c>
      <c r="C13" s="198">
        <v>4269</v>
      </c>
      <c r="D13" s="145"/>
      <c r="E13" s="198">
        <v>4269</v>
      </c>
      <c r="F13" s="198">
        <f t="shared" ref="F13:F48" si="0">SUM(H13:AV13)</f>
        <v>4269</v>
      </c>
      <c r="G13" s="198">
        <f t="shared" ref="G13:G48" si="1">E13-F13</f>
        <v>0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>
        <v>4269</v>
      </c>
      <c r="AL13" s="211"/>
      <c r="AM13" s="211"/>
    </row>
    <row r="14" spans="1:49" ht="18" customHeight="1" thickBot="1" x14ac:dyDescent="0.3">
      <c r="A14" s="152" t="s">
        <v>18</v>
      </c>
      <c r="B14" s="155" t="s">
        <v>196</v>
      </c>
      <c r="C14" s="198">
        <v>23481</v>
      </c>
      <c r="D14" s="145"/>
      <c r="E14" s="198">
        <v>23481</v>
      </c>
      <c r="F14" s="198">
        <f t="shared" si="0"/>
        <v>23481</v>
      </c>
      <c r="G14" s="198">
        <f t="shared" si="1"/>
        <v>0</v>
      </c>
      <c r="H14" s="211"/>
      <c r="I14" s="211"/>
      <c r="J14" s="211"/>
      <c r="K14" s="211"/>
      <c r="L14" s="211"/>
      <c r="M14" s="211"/>
      <c r="N14" s="211"/>
      <c r="O14" s="211"/>
      <c r="P14" s="211">
        <v>7360</v>
      </c>
      <c r="Q14" s="211">
        <v>8000</v>
      </c>
      <c r="R14" s="211"/>
      <c r="S14" s="211">
        <v>6455</v>
      </c>
      <c r="T14" s="211"/>
      <c r="U14" s="211"/>
      <c r="V14" s="211">
        <v>1606.41</v>
      </c>
      <c r="W14" s="211"/>
      <c r="X14" s="211"/>
      <c r="Y14" s="211"/>
      <c r="Z14" s="211">
        <v>59.59</v>
      </c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</row>
    <row r="15" spans="1:49" ht="18" customHeight="1" thickBot="1" x14ac:dyDescent="0.3">
      <c r="A15" s="152" t="s">
        <v>21</v>
      </c>
      <c r="B15" s="155" t="s">
        <v>199</v>
      </c>
      <c r="C15" s="198">
        <v>205780</v>
      </c>
      <c r="D15" s="145"/>
      <c r="E15" s="198">
        <v>205780</v>
      </c>
      <c r="F15" s="198">
        <f t="shared" si="0"/>
        <v>205780</v>
      </c>
      <c r="G15" s="198">
        <f t="shared" si="1"/>
        <v>0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>
        <v>7360</v>
      </c>
      <c r="T15" s="211"/>
      <c r="U15" s="211"/>
      <c r="V15" s="211"/>
      <c r="W15" s="211">
        <v>53818</v>
      </c>
      <c r="X15" s="211">
        <v>15287</v>
      </c>
      <c r="Y15" s="211"/>
      <c r="Z15" s="211">
        <v>354.3</v>
      </c>
      <c r="AA15" s="211"/>
      <c r="AB15" s="211">
        <v>1187.56</v>
      </c>
      <c r="AC15" s="211">
        <v>6748.07</v>
      </c>
      <c r="AD15" s="211">
        <v>4883.91</v>
      </c>
      <c r="AE15" s="211">
        <v>2393.67</v>
      </c>
      <c r="AF15" s="211"/>
      <c r="AG15" s="211"/>
      <c r="AH15" s="211">
        <v>39985.69</v>
      </c>
      <c r="AI15" s="211">
        <v>7000</v>
      </c>
      <c r="AJ15" s="211"/>
      <c r="AK15" s="211">
        <v>3091.16</v>
      </c>
      <c r="AL15" s="211"/>
      <c r="AM15" s="211">
        <v>6720</v>
      </c>
      <c r="AP15" s="2">
        <v>21522.5</v>
      </c>
      <c r="AU15" s="142">
        <v>35428.14</v>
      </c>
    </row>
    <row r="16" spans="1:49" ht="18" customHeight="1" thickBot="1" x14ac:dyDescent="0.3">
      <c r="A16" s="152" t="s">
        <v>22</v>
      </c>
      <c r="B16" s="155" t="s">
        <v>200</v>
      </c>
      <c r="C16" s="198">
        <v>1423</v>
      </c>
      <c r="D16" s="145"/>
      <c r="E16" s="198">
        <v>1423</v>
      </c>
      <c r="F16" s="198">
        <f t="shared" si="0"/>
        <v>1423</v>
      </c>
      <c r="G16" s="198">
        <f t="shared" si="1"/>
        <v>0</v>
      </c>
      <c r="H16" s="211"/>
      <c r="I16" s="211"/>
      <c r="J16" s="211"/>
      <c r="K16" s="211"/>
      <c r="L16" s="211"/>
      <c r="M16" s="211"/>
      <c r="N16" s="211">
        <v>1423</v>
      </c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</row>
    <row r="17" spans="1:48" ht="18" customHeight="1" thickBot="1" x14ac:dyDescent="0.3">
      <c r="A17" s="152" t="s">
        <v>24</v>
      </c>
      <c r="B17" s="155" t="s">
        <v>202</v>
      </c>
      <c r="C17" s="198">
        <v>142</v>
      </c>
      <c r="D17" s="145" t="s">
        <v>406</v>
      </c>
      <c r="E17" s="198">
        <v>0</v>
      </c>
      <c r="F17" s="198">
        <f t="shared" si="0"/>
        <v>0</v>
      </c>
      <c r="G17" s="198">
        <f t="shared" si="1"/>
        <v>0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</row>
    <row r="18" spans="1:48" ht="18" customHeight="1" thickBot="1" x14ac:dyDescent="0.3">
      <c r="A18" s="152" t="s">
        <v>27</v>
      </c>
      <c r="B18" s="155" t="s">
        <v>205</v>
      </c>
      <c r="C18" s="198">
        <v>142</v>
      </c>
      <c r="D18" s="145" t="s">
        <v>406</v>
      </c>
      <c r="E18" s="198">
        <v>0</v>
      </c>
      <c r="F18" s="198">
        <f t="shared" si="0"/>
        <v>0</v>
      </c>
      <c r="G18" s="198">
        <f t="shared" si="1"/>
        <v>0</v>
      </c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</row>
    <row r="19" spans="1:48" ht="16.5" thickBot="1" x14ac:dyDescent="0.3">
      <c r="A19" s="152" t="s">
        <v>46</v>
      </c>
      <c r="B19" s="155" t="s">
        <v>224</v>
      </c>
      <c r="C19" s="198">
        <v>167354</v>
      </c>
      <c r="D19" s="145"/>
      <c r="E19" s="198">
        <v>167354</v>
      </c>
      <c r="F19" s="198">
        <f t="shared" si="0"/>
        <v>167354</v>
      </c>
      <c r="G19" s="198">
        <f t="shared" si="1"/>
        <v>0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>
        <v>21907.24</v>
      </c>
      <c r="Y19" s="211"/>
      <c r="Z19" s="211">
        <v>18792.18</v>
      </c>
      <c r="AA19" s="211">
        <v>32485.48</v>
      </c>
      <c r="AB19" s="211"/>
      <c r="AC19" s="211"/>
      <c r="AD19" s="211"/>
      <c r="AE19" s="211"/>
      <c r="AF19" s="211"/>
      <c r="AG19" s="211"/>
      <c r="AH19" s="211"/>
      <c r="AI19" s="211"/>
      <c r="AJ19" s="211">
        <v>94169.1</v>
      </c>
      <c r="AK19" s="211"/>
      <c r="AL19" s="211"/>
      <c r="AM19" s="211"/>
    </row>
    <row r="20" spans="1:48" ht="16.5" thickBot="1" x14ac:dyDescent="0.3">
      <c r="A20" s="152" t="s">
        <v>56</v>
      </c>
      <c r="B20" s="155" t="s">
        <v>234</v>
      </c>
      <c r="C20" s="198">
        <v>1565</v>
      </c>
      <c r="D20" s="145"/>
      <c r="E20" s="198">
        <v>1565</v>
      </c>
      <c r="F20" s="198">
        <f t="shared" si="0"/>
        <v>1565</v>
      </c>
      <c r="G20" s="198">
        <f t="shared" si="1"/>
        <v>0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>
        <v>392.09</v>
      </c>
      <c r="AE20" s="211"/>
      <c r="AF20" s="211"/>
      <c r="AG20" s="211"/>
      <c r="AH20" s="211"/>
      <c r="AI20" s="211"/>
      <c r="AJ20" s="211"/>
      <c r="AK20" s="211"/>
      <c r="AL20" s="211"/>
      <c r="AM20" s="211"/>
      <c r="AN20" s="2">
        <v>1172.9100000000001</v>
      </c>
    </row>
    <row r="21" spans="1:48" ht="16.5" thickBot="1" x14ac:dyDescent="0.3">
      <c r="A21" s="152" t="s">
        <v>59</v>
      </c>
      <c r="B21" s="155" t="s">
        <v>237</v>
      </c>
      <c r="C21" s="198">
        <v>9819</v>
      </c>
      <c r="D21" s="145"/>
      <c r="E21" s="198">
        <v>9819</v>
      </c>
      <c r="F21" s="198">
        <f t="shared" si="0"/>
        <v>9470.82</v>
      </c>
      <c r="G21" s="198">
        <f t="shared" si="1"/>
        <v>348.18000000000029</v>
      </c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>
        <f>69.76+244.22</f>
        <v>313.98</v>
      </c>
      <c r="AA21" s="211">
        <f>281.58+243.97</f>
        <v>525.54999999999995</v>
      </c>
      <c r="AB21" s="211">
        <v>139.47999999999999</v>
      </c>
      <c r="AC21" s="211">
        <v>226.65</v>
      </c>
      <c r="AD21" s="211">
        <v>180.5</v>
      </c>
      <c r="AE21" s="211"/>
      <c r="AF21" s="211"/>
      <c r="AG21" s="211"/>
      <c r="AH21" s="211"/>
      <c r="AI21" s="211"/>
      <c r="AJ21" s="211">
        <v>1049.44</v>
      </c>
      <c r="AK21" s="211"/>
      <c r="AL21" s="211">
        <v>1373.52</v>
      </c>
      <c r="AM21" s="211">
        <v>774.44</v>
      </c>
      <c r="AO21" s="211">
        <v>594.42999999999995</v>
      </c>
      <c r="AP21" s="211">
        <v>406.99</v>
      </c>
      <c r="AQ21" s="211">
        <v>454.58</v>
      </c>
      <c r="AR21" s="211">
        <v>419.58</v>
      </c>
      <c r="AT21" s="2">
        <v>52.45</v>
      </c>
      <c r="AV21" s="142">
        <f>949.29+2009.94</f>
        <v>2959.23</v>
      </c>
    </row>
    <row r="22" spans="1:48" ht="16.5" thickBot="1" x14ac:dyDescent="0.3">
      <c r="A22" s="152" t="s">
        <v>60</v>
      </c>
      <c r="B22" s="155" t="s">
        <v>238</v>
      </c>
      <c r="C22" s="198">
        <v>1565</v>
      </c>
      <c r="D22" s="145"/>
      <c r="E22" s="198">
        <v>1565</v>
      </c>
      <c r="F22" s="198">
        <f t="shared" si="0"/>
        <v>1565</v>
      </c>
      <c r="G22" s="198">
        <f t="shared" si="1"/>
        <v>0</v>
      </c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>
        <v>1565</v>
      </c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</row>
    <row r="23" spans="1:48" ht="16.5" thickBot="1" x14ac:dyDescent="0.3">
      <c r="A23" s="152" t="s">
        <v>62</v>
      </c>
      <c r="B23" s="155" t="s">
        <v>240</v>
      </c>
      <c r="C23" s="198">
        <v>9819</v>
      </c>
      <c r="D23" s="145"/>
      <c r="E23" s="198">
        <v>9819</v>
      </c>
      <c r="F23" s="198">
        <f t="shared" si="0"/>
        <v>9819</v>
      </c>
      <c r="G23" s="198">
        <f t="shared" si="1"/>
        <v>0</v>
      </c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>
        <v>9143</v>
      </c>
      <c r="AA23" s="211"/>
      <c r="AB23" s="211"/>
      <c r="AC23" s="211"/>
      <c r="AD23" s="211">
        <v>676</v>
      </c>
      <c r="AE23" s="211"/>
      <c r="AF23" s="211"/>
      <c r="AG23" s="211"/>
      <c r="AH23" s="211"/>
      <c r="AI23" s="211"/>
      <c r="AJ23" s="211"/>
      <c r="AK23" s="211"/>
      <c r="AL23" s="211"/>
      <c r="AM23" s="211"/>
    </row>
    <row r="24" spans="1:48" ht="16.5" thickBot="1" x14ac:dyDescent="0.3">
      <c r="A24" s="152" t="s">
        <v>66</v>
      </c>
      <c r="B24" s="155" t="s">
        <v>244</v>
      </c>
      <c r="C24" s="198">
        <v>854</v>
      </c>
      <c r="D24" s="145"/>
      <c r="E24" s="198">
        <v>854</v>
      </c>
      <c r="F24" s="198">
        <f t="shared" si="0"/>
        <v>854</v>
      </c>
      <c r="G24" s="198">
        <f t="shared" si="1"/>
        <v>0</v>
      </c>
      <c r="H24" s="211"/>
      <c r="I24" s="211"/>
      <c r="J24" s="211"/>
      <c r="K24" s="211"/>
      <c r="L24" s="211"/>
      <c r="M24" s="211"/>
      <c r="N24" s="211">
        <v>169</v>
      </c>
      <c r="O24" s="211"/>
      <c r="P24" s="211"/>
      <c r="Q24" s="211">
        <v>70</v>
      </c>
      <c r="R24" s="211">
        <v>28</v>
      </c>
      <c r="S24" s="211"/>
      <c r="T24" s="211"/>
      <c r="U24" s="211"/>
      <c r="V24" s="211"/>
      <c r="W24" s="211"/>
      <c r="X24" s="211"/>
      <c r="Y24" s="211"/>
      <c r="Z24" s="211">
        <v>549.12</v>
      </c>
      <c r="AA24" s="211"/>
      <c r="AB24" s="211"/>
      <c r="AC24" s="211"/>
      <c r="AD24" s="211"/>
      <c r="AE24" s="211"/>
      <c r="AF24" s="211">
        <v>37.880000000000003</v>
      </c>
      <c r="AG24" s="211"/>
      <c r="AH24" s="211"/>
      <c r="AI24" s="211"/>
      <c r="AJ24" s="211"/>
      <c r="AK24" s="211"/>
      <c r="AL24" s="211"/>
      <c r="AM24" s="211"/>
    </row>
    <row r="25" spans="1:48" ht="16.5" thickBot="1" x14ac:dyDescent="0.3">
      <c r="A25" s="152" t="s">
        <v>67</v>
      </c>
      <c r="B25" s="155" t="s">
        <v>245</v>
      </c>
      <c r="C25" s="198">
        <v>8965</v>
      </c>
      <c r="D25" s="145"/>
      <c r="E25" s="198">
        <v>8965</v>
      </c>
      <c r="F25" s="198">
        <f t="shared" si="0"/>
        <v>8965</v>
      </c>
      <c r="G25" s="198">
        <f t="shared" si="1"/>
        <v>0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>
        <v>5385</v>
      </c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>
        <v>939</v>
      </c>
      <c r="AD25" s="211"/>
      <c r="AE25" s="211"/>
      <c r="AF25" s="211"/>
      <c r="AG25" s="211"/>
      <c r="AH25" s="211">
        <v>2641</v>
      </c>
      <c r="AI25" s="211"/>
      <c r="AJ25" s="211"/>
      <c r="AK25" s="211"/>
      <c r="AL25" s="211"/>
      <c r="AM25" s="211"/>
    </row>
    <row r="26" spans="1:48" ht="16.5" thickBot="1" x14ac:dyDescent="0.3">
      <c r="A26" s="152" t="s">
        <v>73</v>
      </c>
      <c r="B26" s="155" t="s">
        <v>251</v>
      </c>
      <c r="C26" s="198">
        <v>4838</v>
      </c>
      <c r="D26" s="145"/>
      <c r="E26" s="198">
        <v>4838</v>
      </c>
      <c r="F26" s="198">
        <f t="shared" si="0"/>
        <v>4838</v>
      </c>
      <c r="G26" s="198">
        <f t="shared" si="1"/>
        <v>0</v>
      </c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>
        <v>987</v>
      </c>
      <c r="X26" s="211"/>
      <c r="Y26" s="211"/>
      <c r="Z26" s="211"/>
      <c r="AA26" s="211">
        <v>3851</v>
      </c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</row>
    <row r="27" spans="1:48" ht="16.5" thickBot="1" x14ac:dyDescent="0.3">
      <c r="A27" s="152" t="s">
        <v>74</v>
      </c>
      <c r="B27" s="155" t="s">
        <v>252</v>
      </c>
      <c r="C27" s="198">
        <v>4269</v>
      </c>
      <c r="D27" s="145"/>
      <c r="E27" s="198">
        <v>4269</v>
      </c>
      <c r="F27" s="198">
        <f t="shared" si="0"/>
        <v>0</v>
      </c>
      <c r="G27" s="198">
        <f t="shared" si="1"/>
        <v>4269</v>
      </c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</row>
    <row r="28" spans="1:48" ht="16.5" thickBot="1" x14ac:dyDescent="0.3">
      <c r="A28" s="152" t="s">
        <v>75</v>
      </c>
      <c r="B28" s="155" t="s">
        <v>253</v>
      </c>
      <c r="C28" s="198">
        <v>142</v>
      </c>
      <c r="D28" s="145" t="s">
        <v>656</v>
      </c>
      <c r="E28" s="198">
        <v>0</v>
      </c>
      <c r="F28" s="198">
        <f t="shared" si="0"/>
        <v>0</v>
      </c>
      <c r="G28" s="198">
        <f t="shared" si="1"/>
        <v>0</v>
      </c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</row>
    <row r="29" spans="1:48" ht="16.5" thickBot="1" x14ac:dyDescent="0.3">
      <c r="A29" s="152" t="s">
        <v>78</v>
      </c>
      <c r="B29" s="155" t="s">
        <v>256</v>
      </c>
      <c r="C29" s="198">
        <v>712</v>
      </c>
      <c r="D29" s="145"/>
      <c r="E29" s="198">
        <v>712</v>
      </c>
      <c r="F29" s="198">
        <f t="shared" si="0"/>
        <v>712</v>
      </c>
      <c r="G29" s="198">
        <f t="shared" si="1"/>
        <v>0</v>
      </c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>
        <v>712</v>
      </c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</row>
    <row r="30" spans="1:48" ht="16.5" thickBot="1" x14ac:dyDescent="0.3">
      <c r="A30" s="152" t="s">
        <v>84</v>
      </c>
      <c r="B30" s="155" t="s">
        <v>262</v>
      </c>
      <c r="C30" s="198">
        <v>7400</v>
      </c>
      <c r="D30" s="145"/>
      <c r="E30" s="198">
        <v>7400</v>
      </c>
      <c r="F30" s="198">
        <f t="shared" si="0"/>
        <v>7400</v>
      </c>
      <c r="G30" s="198">
        <f t="shared" si="1"/>
        <v>0</v>
      </c>
      <c r="H30" s="211"/>
      <c r="I30" s="211"/>
      <c r="J30" s="211"/>
      <c r="K30" s="211"/>
      <c r="L30" s="211"/>
      <c r="M30" s="211"/>
      <c r="N30" s="211">
        <v>3981</v>
      </c>
      <c r="O30" s="211">
        <v>639</v>
      </c>
      <c r="P30" s="211">
        <v>1755</v>
      </c>
      <c r="Q30" s="211"/>
      <c r="R30" s="211">
        <v>1025</v>
      </c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</row>
    <row r="31" spans="1:48" ht="16.5" thickBot="1" x14ac:dyDescent="0.3">
      <c r="A31" s="152" t="s">
        <v>95</v>
      </c>
      <c r="B31" s="155" t="s">
        <v>273</v>
      </c>
      <c r="C31" s="198">
        <v>427</v>
      </c>
      <c r="D31" s="145"/>
      <c r="E31" s="198">
        <v>427</v>
      </c>
      <c r="F31" s="198">
        <f t="shared" si="0"/>
        <v>427</v>
      </c>
      <c r="G31" s="198">
        <f t="shared" si="1"/>
        <v>0</v>
      </c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>
        <v>427</v>
      </c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</row>
    <row r="32" spans="1:48" ht="16.5" thickBot="1" x14ac:dyDescent="0.3">
      <c r="A32" s="152" t="s">
        <v>97</v>
      </c>
      <c r="B32" s="155" t="s">
        <v>275</v>
      </c>
      <c r="C32" s="198">
        <v>569</v>
      </c>
      <c r="D32" s="145"/>
      <c r="E32" s="198">
        <v>569</v>
      </c>
      <c r="F32" s="198">
        <f t="shared" si="0"/>
        <v>0</v>
      </c>
      <c r="G32" s="198">
        <f t="shared" si="1"/>
        <v>569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</row>
    <row r="33" spans="1:42" ht="16.5" thickBot="1" x14ac:dyDescent="0.3">
      <c r="A33" s="152" t="s">
        <v>98</v>
      </c>
      <c r="B33" s="155" t="s">
        <v>276</v>
      </c>
      <c r="C33" s="198">
        <v>142</v>
      </c>
      <c r="D33" s="145" t="s">
        <v>656</v>
      </c>
      <c r="E33" s="198">
        <v>0</v>
      </c>
      <c r="F33" s="198">
        <f t="shared" si="0"/>
        <v>0</v>
      </c>
      <c r="G33" s="198">
        <f t="shared" si="1"/>
        <v>0</v>
      </c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</row>
    <row r="34" spans="1:42" ht="16.5" thickBot="1" x14ac:dyDescent="0.3">
      <c r="A34" s="152" t="s">
        <v>112</v>
      </c>
      <c r="B34" s="155" t="s">
        <v>290</v>
      </c>
      <c r="C34" s="198">
        <v>142</v>
      </c>
      <c r="D34" s="145" t="s">
        <v>656</v>
      </c>
      <c r="E34" s="198">
        <v>0</v>
      </c>
      <c r="F34" s="198">
        <f t="shared" si="0"/>
        <v>0</v>
      </c>
      <c r="G34" s="198">
        <f t="shared" si="1"/>
        <v>0</v>
      </c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</row>
    <row r="35" spans="1:42" ht="16.5" thickBot="1" x14ac:dyDescent="0.3">
      <c r="A35" s="152" t="s">
        <v>120</v>
      </c>
      <c r="B35" s="155" t="s">
        <v>298</v>
      </c>
      <c r="C35" s="198">
        <v>427</v>
      </c>
      <c r="D35" s="145"/>
      <c r="E35" s="198">
        <v>427</v>
      </c>
      <c r="F35" s="198">
        <f t="shared" si="0"/>
        <v>0</v>
      </c>
      <c r="G35" s="198">
        <f t="shared" si="1"/>
        <v>427</v>
      </c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</row>
    <row r="36" spans="1:42" ht="16.5" thickBot="1" x14ac:dyDescent="0.3">
      <c r="A36" s="152" t="s">
        <v>123</v>
      </c>
      <c r="B36" s="155" t="s">
        <v>301</v>
      </c>
      <c r="C36" s="198">
        <v>4127</v>
      </c>
      <c r="D36" s="145"/>
      <c r="E36" s="198">
        <v>4127</v>
      </c>
      <c r="F36" s="198">
        <f t="shared" si="0"/>
        <v>4127</v>
      </c>
      <c r="G36" s="198">
        <f t="shared" si="1"/>
        <v>0</v>
      </c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>
        <v>32</v>
      </c>
      <c r="X36" s="211"/>
      <c r="Y36" s="211"/>
      <c r="Z36" s="211"/>
      <c r="AA36" s="211"/>
      <c r="AB36" s="211"/>
      <c r="AC36" s="211"/>
      <c r="AD36" s="211"/>
      <c r="AE36" s="211">
        <v>4095</v>
      </c>
      <c r="AF36" s="211"/>
      <c r="AG36" s="211"/>
      <c r="AH36" s="211"/>
      <c r="AI36" s="211"/>
      <c r="AJ36" s="211"/>
      <c r="AK36" s="211"/>
      <c r="AL36" s="211"/>
      <c r="AM36" s="211"/>
    </row>
    <row r="37" spans="1:42" ht="16.5" thickBot="1" x14ac:dyDescent="0.3">
      <c r="A37" s="152" t="s">
        <v>143</v>
      </c>
      <c r="B37" s="155" t="s">
        <v>321</v>
      </c>
      <c r="C37" s="198">
        <v>427</v>
      </c>
      <c r="D37" s="145"/>
      <c r="E37" s="198">
        <v>427</v>
      </c>
      <c r="F37" s="198">
        <f t="shared" si="0"/>
        <v>426</v>
      </c>
      <c r="G37" s="198">
        <f t="shared" si="1"/>
        <v>1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>
        <v>158</v>
      </c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P37" s="2">
        <v>268</v>
      </c>
    </row>
    <row r="38" spans="1:42" ht="16.5" thickBot="1" x14ac:dyDescent="0.3">
      <c r="A38" s="152" t="s">
        <v>150</v>
      </c>
      <c r="B38" s="155" t="s">
        <v>328</v>
      </c>
      <c r="C38" s="198">
        <v>285</v>
      </c>
      <c r="D38" s="145"/>
      <c r="E38" s="198">
        <v>285</v>
      </c>
      <c r="F38" s="198">
        <f t="shared" si="0"/>
        <v>285</v>
      </c>
      <c r="G38" s="198">
        <f t="shared" si="1"/>
        <v>0</v>
      </c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>
        <v>285</v>
      </c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</row>
    <row r="39" spans="1:42" ht="16.5" thickBot="1" x14ac:dyDescent="0.3">
      <c r="A39" s="152" t="s">
        <v>151</v>
      </c>
      <c r="B39" s="155" t="s">
        <v>329</v>
      </c>
      <c r="C39" s="198">
        <v>2988</v>
      </c>
      <c r="D39" s="145"/>
      <c r="E39" s="198">
        <v>2988</v>
      </c>
      <c r="F39" s="198">
        <f t="shared" si="0"/>
        <v>2988</v>
      </c>
      <c r="G39" s="198">
        <f t="shared" si="1"/>
        <v>0</v>
      </c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>
        <v>2988</v>
      </c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</row>
    <row r="40" spans="1:42" ht="16.5" thickBot="1" x14ac:dyDescent="0.3">
      <c r="A40" s="152" t="s">
        <v>152</v>
      </c>
      <c r="B40" s="155" t="s">
        <v>330</v>
      </c>
      <c r="C40" s="198">
        <v>427</v>
      </c>
      <c r="D40" s="145"/>
      <c r="E40" s="198">
        <v>427</v>
      </c>
      <c r="F40" s="198">
        <f t="shared" si="0"/>
        <v>427</v>
      </c>
      <c r="G40" s="198">
        <f t="shared" si="1"/>
        <v>0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>
        <v>427</v>
      </c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</row>
    <row r="41" spans="1:42" ht="16.5" thickBot="1" x14ac:dyDescent="0.3">
      <c r="A41" s="152" t="s">
        <v>157</v>
      </c>
      <c r="B41" s="155" t="s">
        <v>335</v>
      </c>
      <c r="C41" s="198">
        <v>2277</v>
      </c>
      <c r="D41" s="145"/>
      <c r="E41" s="198">
        <v>2277</v>
      </c>
      <c r="F41" s="198">
        <f t="shared" si="0"/>
        <v>2277</v>
      </c>
      <c r="G41" s="198">
        <f t="shared" si="1"/>
        <v>0</v>
      </c>
      <c r="H41" s="211"/>
      <c r="I41" s="211"/>
      <c r="J41" s="211"/>
      <c r="K41" s="211"/>
      <c r="L41" s="211"/>
      <c r="M41" s="211"/>
      <c r="N41" s="211"/>
      <c r="O41" s="211"/>
      <c r="P41" s="211"/>
      <c r="Q41" s="211">
        <v>1139</v>
      </c>
      <c r="R41" s="211"/>
      <c r="S41" s="211">
        <v>1138</v>
      </c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</row>
    <row r="42" spans="1:42" ht="16.5" thickBot="1" x14ac:dyDescent="0.3">
      <c r="A42" s="152" t="s">
        <v>161</v>
      </c>
      <c r="B42" s="155" t="s">
        <v>338</v>
      </c>
      <c r="C42" s="198">
        <v>9108</v>
      </c>
      <c r="D42" s="145"/>
      <c r="E42" s="198">
        <v>9108</v>
      </c>
      <c r="F42" s="198">
        <f t="shared" si="0"/>
        <v>9108</v>
      </c>
      <c r="G42" s="198">
        <f t="shared" si="1"/>
        <v>0</v>
      </c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>
        <v>7522</v>
      </c>
      <c r="T42" s="211">
        <v>780</v>
      </c>
      <c r="U42" s="211">
        <v>806</v>
      </c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</row>
    <row r="43" spans="1:42" ht="16.5" thickBot="1" x14ac:dyDescent="0.3">
      <c r="A43" s="152" t="s">
        <v>177</v>
      </c>
      <c r="B43" s="155" t="s">
        <v>353</v>
      </c>
      <c r="C43" s="198">
        <v>142</v>
      </c>
      <c r="D43" s="145" t="s">
        <v>656</v>
      </c>
      <c r="E43" s="198">
        <v>0</v>
      </c>
      <c r="F43" s="198">
        <f t="shared" si="0"/>
        <v>0</v>
      </c>
      <c r="G43" s="198">
        <f t="shared" si="1"/>
        <v>0</v>
      </c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</row>
    <row r="44" spans="1:42" ht="16.5" thickBot="1" x14ac:dyDescent="0.3">
      <c r="A44" s="152" t="s">
        <v>180</v>
      </c>
      <c r="B44" s="155" t="s">
        <v>356</v>
      </c>
      <c r="C44" s="198">
        <v>285</v>
      </c>
      <c r="D44" s="145" t="s">
        <v>372</v>
      </c>
      <c r="E44" s="198">
        <v>0</v>
      </c>
      <c r="F44" s="198">
        <f t="shared" si="0"/>
        <v>0</v>
      </c>
      <c r="G44" s="198">
        <f t="shared" si="1"/>
        <v>0</v>
      </c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</row>
    <row r="45" spans="1:42" ht="16.5" thickBot="1" x14ac:dyDescent="0.3">
      <c r="A45" s="152" t="s">
        <v>182</v>
      </c>
      <c r="B45" s="155" t="s">
        <v>358</v>
      </c>
      <c r="C45" s="198">
        <v>712</v>
      </c>
      <c r="D45" s="145" t="s">
        <v>373</v>
      </c>
      <c r="E45" s="198">
        <v>0</v>
      </c>
      <c r="F45" s="198">
        <f t="shared" si="0"/>
        <v>0</v>
      </c>
      <c r="G45" s="198">
        <f t="shared" si="1"/>
        <v>0</v>
      </c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</row>
    <row r="46" spans="1:42" ht="16.5" thickBot="1" x14ac:dyDescent="0.3">
      <c r="A46" s="152" t="s">
        <v>372</v>
      </c>
      <c r="B46" s="155" t="s">
        <v>627</v>
      </c>
      <c r="C46" s="198">
        <v>0</v>
      </c>
      <c r="D46" s="145"/>
      <c r="E46" s="198">
        <v>285</v>
      </c>
      <c r="F46" s="198">
        <f t="shared" si="0"/>
        <v>285</v>
      </c>
      <c r="G46" s="198">
        <f t="shared" si="1"/>
        <v>0</v>
      </c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P46" s="2">
        <v>285</v>
      </c>
    </row>
    <row r="47" spans="1:42" ht="16.5" thickBot="1" x14ac:dyDescent="0.3">
      <c r="A47" s="152" t="s">
        <v>373</v>
      </c>
      <c r="B47" s="155" t="s">
        <v>377</v>
      </c>
      <c r="C47" s="198">
        <v>0</v>
      </c>
      <c r="D47" s="145"/>
      <c r="E47" s="198">
        <v>712</v>
      </c>
      <c r="F47" s="198">
        <f t="shared" si="0"/>
        <v>712</v>
      </c>
      <c r="G47" s="198">
        <f t="shared" si="1"/>
        <v>0</v>
      </c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>
        <v>712</v>
      </c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</row>
    <row r="48" spans="1:42" ht="16.5" thickBot="1" x14ac:dyDescent="0.3">
      <c r="A48" s="152" t="s">
        <v>406</v>
      </c>
      <c r="B48" s="155" t="s">
        <v>396</v>
      </c>
      <c r="C48" s="198">
        <v>0</v>
      </c>
      <c r="D48" s="145"/>
      <c r="E48" s="198">
        <v>284</v>
      </c>
      <c r="F48" s="198">
        <f t="shared" si="0"/>
        <v>284</v>
      </c>
      <c r="G48" s="198">
        <f t="shared" si="1"/>
        <v>0</v>
      </c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>
        <v>284</v>
      </c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</row>
    <row r="49" spans="1:48" ht="15.75" thickBot="1" x14ac:dyDescent="0.3">
      <c r="C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</row>
    <row r="50" spans="1:48" ht="16.5" thickBot="1" x14ac:dyDescent="0.3">
      <c r="A50" s="155" t="s">
        <v>580</v>
      </c>
      <c r="B50" s="155"/>
      <c r="C50" s="198">
        <f>SUM(C12:C49)</f>
        <v>488970</v>
      </c>
      <c r="D50" s="154"/>
      <c r="E50" s="198">
        <f>SUM(E12:E48)</f>
        <v>488402</v>
      </c>
      <c r="F50" s="198">
        <f>SUM(F12:F48)</f>
        <v>482787.82</v>
      </c>
      <c r="G50" s="198">
        <f>SUM(G12:G48)</f>
        <v>5614.18</v>
      </c>
      <c r="H50" s="198">
        <f t="shared" ref="H50:AV50" si="2">SUM(H12:H48)</f>
        <v>0</v>
      </c>
      <c r="I50" s="198">
        <f t="shared" si="2"/>
        <v>0</v>
      </c>
      <c r="J50" s="198">
        <f t="shared" si="2"/>
        <v>0</v>
      </c>
      <c r="K50" s="198">
        <f t="shared" si="2"/>
        <v>0</v>
      </c>
      <c r="L50" s="198">
        <f t="shared" si="2"/>
        <v>0</v>
      </c>
      <c r="M50" s="198">
        <f t="shared" si="2"/>
        <v>0</v>
      </c>
      <c r="N50" s="198">
        <f t="shared" si="2"/>
        <v>7186</v>
      </c>
      <c r="O50" s="198">
        <f t="shared" si="2"/>
        <v>1074</v>
      </c>
      <c r="P50" s="198">
        <f t="shared" si="2"/>
        <v>11384</v>
      </c>
      <c r="Q50" s="198">
        <f t="shared" si="2"/>
        <v>14819</v>
      </c>
      <c r="R50" s="198">
        <f t="shared" si="2"/>
        <v>4041</v>
      </c>
      <c r="S50" s="198">
        <f t="shared" si="2"/>
        <v>23472</v>
      </c>
      <c r="T50" s="198">
        <f t="shared" si="2"/>
        <v>780</v>
      </c>
      <c r="U50" s="198">
        <f t="shared" si="2"/>
        <v>4002</v>
      </c>
      <c r="V50" s="198">
        <f t="shared" si="2"/>
        <v>3171.41</v>
      </c>
      <c r="W50" s="198">
        <f t="shared" si="2"/>
        <v>54837</v>
      </c>
      <c r="X50" s="198">
        <f t="shared" si="2"/>
        <v>37352.240000000005</v>
      </c>
      <c r="Y50" s="198">
        <f t="shared" si="2"/>
        <v>6031.58</v>
      </c>
      <c r="Z50" s="198">
        <f t="shared" si="2"/>
        <v>30811.59</v>
      </c>
      <c r="AA50" s="198">
        <f t="shared" si="2"/>
        <v>36862.03</v>
      </c>
      <c r="AB50" s="198">
        <f t="shared" si="2"/>
        <v>1327.04</v>
      </c>
      <c r="AC50" s="198">
        <f t="shared" si="2"/>
        <v>8340.7199999999993</v>
      </c>
      <c r="AD50" s="198">
        <f t="shared" si="2"/>
        <v>6132.5</v>
      </c>
      <c r="AE50" s="198">
        <f t="shared" si="2"/>
        <v>6488.67</v>
      </c>
      <c r="AF50" s="198">
        <f t="shared" si="2"/>
        <v>37.880000000000003</v>
      </c>
      <c r="AG50" s="198">
        <f t="shared" si="2"/>
        <v>0</v>
      </c>
      <c r="AH50" s="198">
        <f t="shared" si="2"/>
        <v>42626.69</v>
      </c>
      <c r="AI50" s="198">
        <f t="shared" si="2"/>
        <v>7000</v>
      </c>
      <c r="AJ50" s="198">
        <f t="shared" si="2"/>
        <v>95218.540000000008</v>
      </c>
      <c r="AK50" s="198">
        <f t="shared" si="2"/>
        <v>7360.16</v>
      </c>
      <c r="AL50" s="198">
        <f t="shared" si="2"/>
        <v>1373.52</v>
      </c>
      <c r="AM50" s="198">
        <f t="shared" si="2"/>
        <v>7494.4400000000005</v>
      </c>
      <c r="AN50" s="198">
        <f t="shared" si="2"/>
        <v>1172.9100000000001</v>
      </c>
      <c r="AO50" s="198">
        <f t="shared" si="2"/>
        <v>594.42999999999995</v>
      </c>
      <c r="AP50" s="198">
        <f t="shared" si="2"/>
        <v>22482.49</v>
      </c>
      <c r="AQ50" s="198">
        <f t="shared" si="2"/>
        <v>454.58</v>
      </c>
      <c r="AR50" s="198">
        <f t="shared" si="2"/>
        <v>419.58</v>
      </c>
      <c r="AS50" s="198">
        <f t="shared" si="2"/>
        <v>0</v>
      </c>
      <c r="AT50" s="198">
        <f t="shared" si="2"/>
        <v>52.45</v>
      </c>
      <c r="AU50" s="198">
        <f t="shared" si="2"/>
        <v>35428.14</v>
      </c>
      <c r="AV50" s="198">
        <f t="shared" si="2"/>
        <v>2959.23</v>
      </c>
    </row>
    <row r="51" spans="1:48" x14ac:dyDescent="0.25">
      <c r="E51" s="174"/>
    </row>
  </sheetData>
  <sheetProtection algorithmName="SHA-512" hashValue="wTWwH6PQHLbz+w1+2RouUJlE30o1yYK4eZeQN1pg+vwTcTBtl2Rxgxmy4gX4HkLfoIKbXpVhOE10NAb1BgAa4w==" saltValue="Fd7cr1xMR4Lvaasjq2oB/g==" spinCount="100000" sheet="1" objects="1" scenarios="1"/>
  <sortState xmlns:xlrd2="http://schemas.microsoft.com/office/spreadsheetml/2017/richdata2" ref="A169:AH202">
    <sortCondition ref="A1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66CCFF"/>
  </sheetPr>
  <dimension ref="A1:AX233"/>
  <sheetViews>
    <sheetView zoomScaleNormal="100" workbookViewId="0">
      <pane xSplit="7" ySplit="11" topLeftCell="AT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U13" sqref="AU13"/>
    </sheetView>
  </sheetViews>
  <sheetFormatPr defaultColWidth="9.140625" defaultRowHeight="15" x14ac:dyDescent="0.25"/>
  <cols>
    <col min="1" max="1" width="9.140625" style="126"/>
    <col min="2" max="2" width="33" style="8" bestFit="1" customWidth="1"/>
    <col min="3" max="3" width="16.7109375" style="8" customWidth="1"/>
    <col min="4" max="4" width="16.7109375" style="117" customWidth="1"/>
    <col min="5" max="6" width="16.7109375" style="8" customWidth="1"/>
    <col min="7" max="7" width="32" style="8" customWidth="1"/>
    <col min="8" max="15" width="15.7109375" style="8" customWidth="1"/>
    <col min="16" max="16" width="15.7109375" style="258" customWidth="1"/>
    <col min="17" max="17" width="15.7109375" style="101" customWidth="1"/>
    <col min="18" max="18" width="15.7109375" style="8" customWidth="1"/>
    <col min="19" max="19" width="15.7109375" style="273" customWidth="1"/>
    <col min="20" max="34" width="15.7109375" style="8" customWidth="1"/>
    <col min="35" max="50" width="16.28515625" style="8" customWidth="1"/>
    <col min="51" max="16384" width="9.140625" style="8"/>
  </cols>
  <sheetData>
    <row r="1" spans="1:50" s="69" customFormat="1" ht="21" x14ac:dyDescent="0.35">
      <c r="A1" s="130" t="s">
        <v>0</v>
      </c>
      <c r="B1" s="71"/>
      <c r="C1" s="130" t="s">
        <v>598</v>
      </c>
      <c r="D1" s="110"/>
      <c r="E1" s="130"/>
      <c r="F1" s="70"/>
      <c r="G1" s="70"/>
      <c r="H1" s="73"/>
      <c r="I1" s="73"/>
      <c r="J1" s="130" t="str">
        <f>C1</f>
        <v>Title IV Formula</v>
      </c>
      <c r="K1" s="130"/>
      <c r="L1" s="70"/>
      <c r="M1" s="70"/>
      <c r="N1" s="70"/>
      <c r="O1" s="70"/>
      <c r="P1" s="253" t="str">
        <f>C1</f>
        <v>Title IV Formula</v>
      </c>
      <c r="Q1" s="104"/>
      <c r="R1" s="130"/>
      <c r="S1" s="269"/>
      <c r="T1" s="70"/>
      <c r="U1" s="70"/>
      <c r="V1" s="130" t="str">
        <f>C1</f>
        <v>Title IV Formula</v>
      </c>
      <c r="W1" s="70"/>
      <c r="X1" s="73"/>
      <c r="Y1" s="73"/>
      <c r="Z1" s="130"/>
      <c r="AA1" s="130"/>
      <c r="AB1" s="130" t="str">
        <f>C1</f>
        <v>Title IV Formula</v>
      </c>
      <c r="AC1" s="70"/>
      <c r="AD1" s="70"/>
      <c r="AE1" s="70"/>
      <c r="AF1" s="130" t="str">
        <f>C1</f>
        <v>Title IV Formula</v>
      </c>
      <c r="AG1" s="73"/>
      <c r="AH1" s="130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</row>
    <row r="2" spans="1:50" s="69" customFormat="1" ht="15.75" x14ac:dyDescent="0.25">
      <c r="A2" s="131" t="s">
        <v>1</v>
      </c>
      <c r="B2" s="71"/>
      <c r="C2" s="75" t="s">
        <v>649</v>
      </c>
      <c r="D2" s="111"/>
      <c r="E2" s="75"/>
      <c r="F2" s="74"/>
      <c r="G2" s="74"/>
      <c r="H2" s="73"/>
      <c r="I2" s="73"/>
      <c r="J2" s="74" t="str">
        <f>"FY"&amp;C4</f>
        <v>FY2018-2019</v>
      </c>
      <c r="K2" s="74"/>
      <c r="L2" s="131"/>
      <c r="M2" s="131"/>
      <c r="N2" s="74"/>
      <c r="O2" s="74"/>
      <c r="P2" s="254" t="str">
        <f>"FY"&amp;C4</f>
        <v>FY2018-2019</v>
      </c>
      <c r="Q2" s="105"/>
      <c r="R2" s="74"/>
      <c r="S2" s="270"/>
      <c r="T2" s="131"/>
      <c r="U2" s="131"/>
      <c r="V2" s="74" t="str">
        <f>"FY"&amp;C4</f>
        <v>FY2018-2019</v>
      </c>
      <c r="W2" s="74"/>
      <c r="X2" s="74"/>
      <c r="Y2" s="74"/>
      <c r="Z2" s="74"/>
      <c r="AA2" s="74"/>
      <c r="AB2" s="74" t="str">
        <f>"FY"&amp;C4</f>
        <v>FY2018-2019</v>
      </c>
      <c r="AC2" s="131"/>
      <c r="AD2" s="74"/>
      <c r="AE2" s="74"/>
      <c r="AF2" s="74" t="str">
        <f>"FY"&amp;C4</f>
        <v>FY2018-2019</v>
      </c>
      <c r="AG2" s="74"/>
      <c r="AH2" s="74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</row>
    <row r="3" spans="1:50" s="69" customFormat="1" ht="15.75" x14ac:dyDescent="0.25">
      <c r="A3" s="131" t="s">
        <v>3</v>
      </c>
      <c r="B3" s="71"/>
      <c r="C3" s="131">
        <v>4424</v>
      </c>
      <c r="D3" s="112"/>
      <c r="E3" s="131"/>
      <c r="F3" s="74"/>
      <c r="G3" s="74"/>
      <c r="H3" s="73"/>
      <c r="I3" s="73"/>
      <c r="J3" s="73"/>
      <c r="K3" s="73"/>
      <c r="L3" s="73"/>
      <c r="M3" s="73"/>
      <c r="N3" s="73"/>
      <c r="O3" s="73"/>
      <c r="P3" s="255"/>
      <c r="Q3" s="104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</row>
    <row r="4" spans="1:50" s="69" customFormat="1" ht="21" x14ac:dyDescent="0.35">
      <c r="A4" s="131" t="s">
        <v>2</v>
      </c>
      <c r="B4" s="71"/>
      <c r="C4" s="130" t="s">
        <v>620</v>
      </c>
      <c r="D4" s="112"/>
      <c r="E4" s="130"/>
      <c r="F4" s="74"/>
      <c r="G4" s="74"/>
      <c r="H4" s="73"/>
      <c r="I4" s="73"/>
      <c r="J4" s="73"/>
      <c r="K4" s="73"/>
      <c r="L4" s="73"/>
      <c r="M4" s="73"/>
      <c r="N4" s="73"/>
      <c r="O4" s="73"/>
      <c r="P4" s="255"/>
      <c r="Q4" s="10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</row>
    <row r="5" spans="1:50" s="69" customFormat="1" ht="15.75" x14ac:dyDescent="0.25">
      <c r="A5" s="131" t="s">
        <v>397</v>
      </c>
      <c r="B5" s="71"/>
      <c r="C5" s="74" t="s">
        <v>660</v>
      </c>
      <c r="D5" s="113"/>
      <c r="E5" s="74"/>
      <c r="F5" s="74"/>
      <c r="G5" s="77"/>
      <c r="H5" s="77"/>
      <c r="I5" s="77"/>
      <c r="J5" s="77"/>
      <c r="K5" s="77"/>
      <c r="L5" s="77"/>
      <c r="M5" s="77"/>
      <c r="N5" s="77"/>
      <c r="O5" s="77"/>
      <c r="P5" s="255"/>
      <c r="Q5" s="106"/>
      <c r="R5" s="77"/>
      <c r="S5" s="73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</row>
    <row r="6" spans="1:50" s="69" customFormat="1" ht="15.75" x14ac:dyDescent="0.25">
      <c r="A6" s="131" t="s">
        <v>4</v>
      </c>
      <c r="B6" s="71"/>
      <c r="C6" s="74" t="s">
        <v>365</v>
      </c>
      <c r="D6" s="113"/>
      <c r="E6" s="74"/>
      <c r="F6" s="74"/>
      <c r="G6" s="77"/>
      <c r="H6" s="77"/>
      <c r="I6" s="77"/>
      <c r="J6" s="77"/>
      <c r="K6" s="77"/>
      <c r="L6" s="77"/>
      <c r="M6" s="77"/>
      <c r="N6" s="77"/>
      <c r="O6" s="77"/>
      <c r="P6" s="255"/>
      <c r="Q6" s="106"/>
      <c r="R6" s="77"/>
      <c r="S6" s="73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</row>
    <row r="7" spans="1:50" s="69" customFormat="1" ht="15.75" x14ac:dyDescent="0.25">
      <c r="A7" s="131"/>
      <c r="B7" s="71"/>
      <c r="C7" s="74"/>
      <c r="D7" s="113"/>
      <c r="E7" s="74"/>
      <c r="F7" s="74"/>
      <c r="G7" s="77"/>
      <c r="H7" s="77"/>
      <c r="I7" s="77"/>
      <c r="J7" s="77"/>
      <c r="K7" s="77"/>
      <c r="L7" s="77"/>
      <c r="M7" s="77"/>
      <c r="N7" s="77"/>
      <c r="O7" s="77"/>
      <c r="P7" s="255"/>
      <c r="Q7" s="106"/>
      <c r="R7" s="77"/>
      <c r="S7" s="73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</row>
    <row r="8" spans="1:50" s="69" customFormat="1" ht="15.75" x14ac:dyDescent="0.25">
      <c r="A8" s="131" t="s">
        <v>379</v>
      </c>
      <c r="B8" s="71"/>
      <c r="C8" s="74" t="s">
        <v>606</v>
      </c>
      <c r="D8" s="113"/>
      <c r="E8" s="74"/>
      <c r="F8" s="74"/>
      <c r="G8" s="77"/>
      <c r="H8" s="77"/>
      <c r="I8" s="77"/>
      <c r="J8" s="77"/>
      <c r="K8" s="77"/>
      <c r="L8" s="77"/>
      <c r="M8" s="77"/>
      <c r="N8" s="77"/>
      <c r="O8" s="77"/>
      <c r="P8" s="255"/>
      <c r="Q8" s="106"/>
      <c r="R8" s="77"/>
      <c r="S8" s="73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</row>
    <row r="9" spans="1:50" s="69" customFormat="1" ht="15.75" x14ac:dyDescent="0.25">
      <c r="A9" s="131" t="s">
        <v>380</v>
      </c>
      <c r="B9" s="71"/>
      <c r="C9" s="74" t="s">
        <v>381</v>
      </c>
      <c r="D9" s="113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255"/>
      <c r="Q9" s="106"/>
      <c r="R9" s="77"/>
      <c r="S9" s="73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</row>
    <row r="10" spans="1:50" s="69" customFormat="1" ht="16.5" thickBot="1" x14ac:dyDescent="0.3">
      <c r="A10" s="131" t="s">
        <v>398</v>
      </c>
      <c r="B10" s="71"/>
      <c r="C10" s="74" t="s">
        <v>676</v>
      </c>
      <c r="D10" s="113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255"/>
      <c r="Q10" s="106"/>
      <c r="R10" s="77"/>
      <c r="S10" s="73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</row>
    <row r="11" spans="1:50" s="41" customFormat="1" ht="45.75" thickBot="1" x14ac:dyDescent="0.3">
      <c r="A11" s="122" t="s">
        <v>366</v>
      </c>
      <c r="B11" s="94" t="s">
        <v>367</v>
      </c>
      <c r="C11" s="94" t="s">
        <v>368</v>
      </c>
      <c r="D11" s="114" t="s">
        <v>655</v>
      </c>
      <c r="E11" s="48" t="s">
        <v>646</v>
      </c>
      <c r="F11" s="48" t="s">
        <v>369</v>
      </c>
      <c r="G11" s="55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256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672</v>
      </c>
      <c r="AU11" s="107" t="s">
        <v>674</v>
      </c>
      <c r="AV11" s="107" t="s">
        <v>675</v>
      </c>
      <c r="AW11" s="107" t="s">
        <v>653</v>
      </c>
      <c r="AX11" s="107" t="s">
        <v>654</v>
      </c>
    </row>
    <row r="12" spans="1:50" s="4" customFormat="1" ht="19.5" thickBot="1" x14ac:dyDescent="0.35">
      <c r="A12" s="152" t="s">
        <v>7</v>
      </c>
      <c r="B12" s="155" t="s">
        <v>185</v>
      </c>
      <c r="C12" s="238">
        <v>73604</v>
      </c>
      <c r="D12" s="145"/>
      <c r="E12" s="233">
        <v>73604</v>
      </c>
      <c r="F12" s="198">
        <f>SUM(H12:AV12)</f>
        <v>73604</v>
      </c>
      <c r="G12" s="260">
        <f>E12-(F12+AW12+AX12)</f>
        <v>0</v>
      </c>
      <c r="H12" s="257"/>
      <c r="I12" s="257"/>
      <c r="J12" s="257"/>
      <c r="K12" s="257"/>
      <c r="L12" s="257"/>
      <c r="M12" s="257">
        <v>1962</v>
      </c>
      <c r="N12" s="257">
        <v>2730</v>
      </c>
      <c r="O12" s="257"/>
      <c r="P12" s="257">
        <f>3923+2827</f>
        <v>6750</v>
      </c>
      <c r="Q12" s="257">
        <v>2308</v>
      </c>
      <c r="R12" s="257">
        <v>2726</v>
      </c>
      <c r="S12" s="257">
        <v>2712</v>
      </c>
      <c r="T12" s="257">
        <v>16021</v>
      </c>
      <c r="U12" s="257"/>
      <c r="V12" s="252">
        <v>8931.36</v>
      </c>
      <c r="W12" s="252">
        <v>2183.35</v>
      </c>
      <c r="X12" s="252">
        <v>4870.25</v>
      </c>
      <c r="Y12" s="252"/>
      <c r="Z12" s="252">
        <v>1568.24</v>
      </c>
      <c r="AA12" s="252">
        <v>1568.24</v>
      </c>
      <c r="AB12" s="252">
        <v>1568.25</v>
      </c>
      <c r="AC12" s="252">
        <v>3607.25</v>
      </c>
      <c r="AD12" s="252">
        <v>3210.52</v>
      </c>
      <c r="AE12" s="252">
        <v>3669.41</v>
      </c>
      <c r="AF12" s="252">
        <v>4397.67</v>
      </c>
      <c r="AG12" s="252">
        <v>2820.46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</row>
    <row r="13" spans="1:50" s="4" customFormat="1" ht="19.5" thickBot="1" x14ac:dyDescent="0.35">
      <c r="A13" s="152" t="s">
        <v>8</v>
      </c>
      <c r="B13" s="155" t="s">
        <v>418</v>
      </c>
      <c r="C13" s="238">
        <v>285420</v>
      </c>
      <c r="D13" s="145"/>
      <c r="E13" s="233">
        <v>285420</v>
      </c>
      <c r="F13" s="198">
        <f t="shared" ref="F13:F76" si="0">SUM(H13:AV13)</f>
        <v>285420</v>
      </c>
      <c r="G13" s="260">
        <f t="shared" ref="G13:G76" si="1">E13-(F13+AW13+AX13)</f>
        <v>0</v>
      </c>
      <c r="H13" s="252"/>
      <c r="I13" s="252"/>
      <c r="J13" s="252"/>
      <c r="K13" s="252"/>
      <c r="L13" s="252"/>
      <c r="M13" s="252"/>
      <c r="N13" s="252"/>
      <c r="O13" s="252"/>
      <c r="P13" s="252">
        <v>809</v>
      </c>
      <c r="Q13" s="252">
        <v>6582</v>
      </c>
      <c r="R13" s="252">
        <v>10675</v>
      </c>
      <c r="S13" s="252">
        <v>26128</v>
      </c>
      <c r="T13" s="252"/>
      <c r="U13" s="252">
        <f>10302+12344</f>
        <v>22646</v>
      </c>
      <c r="V13" s="252">
        <v>8440</v>
      </c>
      <c r="W13" s="252"/>
      <c r="X13" s="252">
        <v>38192.78</v>
      </c>
      <c r="Y13" s="252">
        <v>71919.240000000005</v>
      </c>
      <c r="Z13" s="252">
        <v>25602.86</v>
      </c>
      <c r="AA13" s="252">
        <v>13281.03</v>
      </c>
      <c r="AB13" s="252">
        <v>10808.1</v>
      </c>
      <c r="AC13" s="252">
        <v>15236.17</v>
      </c>
      <c r="AD13" s="252">
        <v>5528.61</v>
      </c>
      <c r="AE13" s="252">
        <v>25337.58</v>
      </c>
      <c r="AF13" s="252"/>
      <c r="AG13" s="252"/>
      <c r="AH13" s="252"/>
      <c r="AI13" s="252"/>
      <c r="AJ13" s="252">
        <v>4233.63</v>
      </c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</row>
    <row r="14" spans="1:50" s="4" customFormat="1" ht="19.5" thickBot="1" x14ac:dyDescent="0.35">
      <c r="A14" s="152" t="s">
        <v>9</v>
      </c>
      <c r="B14" s="155" t="s">
        <v>187</v>
      </c>
      <c r="C14" s="238">
        <v>140100</v>
      </c>
      <c r="D14" s="145"/>
      <c r="E14" s="233">
        <v>140100</v>
      </c>
      <c r="F14" s="198">
        <f t="shared" si="0"/>
        <v>140100</v>
      </c>
      <c r="G14" s="260">
        <f t="shared" si="1"/>
        <v>0</v>
      </c>
      <c r="H14" s="252"/>
      <c r="I14" s="252"/>
      <c r="J14" s="252"/>
      <c r="K14" s="252"/>
      <c r="L14" s="252"/>
      <c r="M14" s="252"/>
      <c r="N14" s="252">
        <v>4400</v>
      </c>
      <c r="O14" s="252"/>
      <c r="P14" s="252"/>
      <c r="Q14" s="252"/>
      <c r="R14" s="252"/>
      <c r="S14" s="252">
        <v>598</v>
      </c>
      <c r="T14" s="252"/>
      <c r="U14" s="252"/>
      <c r="V14" s="252"/>
      <c r="W14" s="252"/>
      <c r="X14" s="252"/>
      <c r="Y14" s="252"/>
      <c r="Z14" s="252">
        <v>13956.69</v>
      </c>
      <c r="AA14" s="252">
        <v>9324.5300000000007</v>
      </c>
      <c r="AB14" s="252">
        <f>7148.74+13238.33</f>
        <v>20387.07</v>
      </c>
      <c r="AC14" s="252">
        <v>13768.4</v>
      </c>
      <c r="AD14" s="252">
        <v>7148.75</v>
      </c>
      <c r="AE14" s="252">
        <v>7148.91</v>
      </c>
      <c r="AF14" s="252"/>
      <c r="AG14" s="252"/>
      <c r="AH14" s="252"/>
      <c r="AI14" s="252">
        <v>15724.92</v>
      </c>
      <c r="AJ14" s="252">
        <v>47642.73</v>
      </c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</row>
    <row r="15" spans="1:50" s="4" customFormat="1" ht="19.5" thickBot="1" x14ac:dyDescent="0.35">
      <c r="A15" s="152" t="s">
        <v>10</v>
      </c>
      <c r="B15" s="155" t="s">
        <v>401</v>
      </c>
      <c r="C15" s="238">
        <v>84772</v>
      </c>
      <c r="D15" s="145"/>
      <c r="E15" s="233">
        <v>84772</v>
      </c>
      <c r="F15" s="198">
        <f t="shared" si="0"/>
        <v>84772</v>
      </c>
      <c r="G15" s="260">
        <f t="shared" si="1"/>
        <v>0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>
        <v>7820</v>
      </c>
      <c r="T15" s="252"/>
      <c r="U15" s="252"/>
      <c r="V15" s="252"/>
      <c r="W15" s="252">
        <v>396</v>
      </c>
      <c r="X15" s="252"/>
      <c r="Y15" s="252">
        <v>21150</v>
      </c>
      <c r="Z15" s="252"/>
      <c r="AA15" s="252"/>
      <c r="AB15" s="252">
        <v>15049</v>
      </c>
      <c r="AC15" s="252">
        <v>9132</v>
      </c>
      <c r="AD15" s="252"/>
      <c r="AE15" s="252">
        <v>14612</v>
      </c>
      <c r="AF15" s="252"/>
      <c r="AG15" s="252"/>
      <c r="AH15" s="252">
        <v>4960</v>
      </c>
      <c r="AI15" s="252"/>
      <c r="AJ15" s="252"/>
      <c r="AK15" s="252">
        <v>11653</v>
      </c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</row>
    <row r="16" spans="1:50" s="4" customFormat="1" ht="19.5" thickBot="1" x14ac:dyDescent="0.35">
      <c r="A16" s="152" t="s">
        <v>11</v>
      </c>
      <c r="B16" s="155" t="s">
        <v>189</v>
      </c>
      <c r="C16" s="238">
        <v>10000</v>
      </c>
      <c r="D16" s="145">
        <v>9025</v>
      </c>
      <c r="E16" s="233">
        <v>0</v>
      </c>
      <c r="F16" s="198">
        <f t="shared" si="0"/>
        <v>0</v>
      </c>
      <c r="G16" s="260">
        <f t="shared" si="1"/>
        <v>0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</row>
    <row r="17" spans="1:50" s="4" customFormat="1" ht="19.5" thickBot="1" x14ac:dyDescent="0.35">
      <c r="A17" s="152" t="s">
        <v>12</v>
      </c>
      <c r="B17" s="155" t="s">
        <v>190</v>
      </c>
      <c r="C17" s="238">
        <v>10000</v>
      </c>
      <c r="D17" s="145">
        <v>9025</v>
      </c>
      <c r="E17" s="233">
        <v>0</v>
      </c>
      <c r="F17" s="198">
        <f t="shared" si="0"/>
        <v>0</v>
      </c>
      <c r="G17" s="260">
        <f t="shared" si="1"/>
        <v>0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</row>
    <row r="18" spans="1:50" s="4" customFormat="1" ht="19.5" thickBot="1" x14ac:dyDescent="0.35">
      <c r="A18" s="152" t="s">
        <v>13</v>
      </c>
      <c r="B18" s="155" t="s">
        <v>621</v>
      </c>
      <c r="C18" s="238">
        <v>191494</v>
      </c>
      <c r="D18" s="145"/>
      <c r="E18" s="233">
        <v>191494</v>
      </c>
      <c r="F18" s="198">
        <f t="shared" si="0"/>
        <v>191494</v>
      </c>
      <c r="G18" s="260">
        <f t="shared" si="1"/>
        <v>0</v>
      </c>
      <c r="H18" s="252"/>
      <c r="I18" s="252"/>
      <c r="J18" s="252"/>
      <c r="K18" s="252"/>
      <c r="L18" s="252"/>
      <c r="M18" s="252">
        <v>16898</v>
      </c>
      <c r="N18" s="252"/>
      <c r="O18" s="252">
        <v>400</v>
      </c>
      <c r="P18" s="252">
        <v>35757</v>
      </c>
      <c r="Q18" s="252"/>
      <c r="R18" s="252">
        <v>56715</v>
      </c>
      <c r="S18" s="252">
        <v>25827</v>
      </c>
      <c r="T18" s="252"/>
      <c r="U18" s="252"/>
      <c r="V18" s="252">
        <v>1636.41</v>
      </c>
      <c r="W18" s="252">
        <v>20000</v>
      </c>
      <c r="X18" s="252"/>
      <c r="Y18" s="252">
        <v>400</v>
      </c>
      <c r="Z18" s="252"/>
      <c r="AA18" s="252"/>
      <c r="AB18" s="252"/>
      <c r="AC18" s="252">
        <v>33860.589999999997</v>
      </c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</row>
    <row r="19" spans="1:50" s="4" customFormat="1" ht="19.5" thickBot="1" x14ac:dyDescent="0.35">
      <c r="A19" s="152" t="s">
        <v>14</v>
      </c>
      <c r="B19" s="155" t="s">
        <v>419</v>
      </c>
      <c r="C19" s="238">
        <v>57076</v>
      </c>
      <c r="D19" s="145"/>
      <c r="E19" s="233">
        <v>57076</v>
      </c>
      <c r="F19" s="198">
        <f t="shared" si="0"/>
        <v>57076</v>
      </c>
      <c r="G19" s="260">
        <f t="shared" si="1"/>
        <v>0</v>
      </c>
      <c r="H19" s="252"/>
      <c r="I19" s="252"/>
      <c r="J19" s="252"/>
      <c r="K19" s="252"/>
      <c r="L19" s="252"/>
      <c r="M19" s="252"/>
      <c r="N19" s="252">
        <f>4152+4151+4151+4958</f>
        <v>17412</v>
      </c>
      <c r="O19" s="252">
        <v>5500</v>
      </c>
      <c r="P19" s="252"/>
      <c r="Q19" s="252"/>
      <c r="R19" s="252"/>
      <c r="S19" s="252">
        <v>45</v>
      </c>
      <c r="T19" s="252">
        <v>1674</v>
      </c>
      <c r="U19" s="252"/>
      <c r="V19" s="252"/>
      <c r="W19" s="252">
        <v>2969.75</v>
      </c>
      <c r="X19" s="252">
        <v>13811.05</v>
      </c>
      <c r="Y19" s="252"/>
      <c r="Z19" s="252">
        <v>15664.2</v>
      </c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</row>
    <row r="20" spans="1:50" s="4" customFormat="1" ht="19.5" thickBot="1" x14ac:dyDescent="0.35">
      <c r="A20" s="152" t="s">
        <v>15</v>
      </c>
      <c r="B20" s="155" t="s">
        <v>421</v>
      </c>
      <c r="C20" s="238">
        <v>10000</v>
      </c>
      <c r="D20" s="145"/>
      <c r="E20" s="233">
        <v>10000</v>
      </c>
      <c r="F20" s="198">
        <f t="shared" si="0"/>
        <v>10000</v>
      </c>
      <c r="G20" s="260">
        <f t="shared" si="1"/>
        <v>0</v>
      </c>
      <c r="H20" s="252"/>
      <c r="I20" s="252"/>
      <c r="J20" s="252"/>
      <c r="K20" s="252"/>
      <c r="L20" s="252"/>
      <c r="M20" s="252"/>
      <c r="N20" s="252"/>
      <c r="O20" s="252"/>
      <c r="P20" s="252">
        <v>5361</v>
      </c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>
        <v>4639</v>
      </c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</row>
    <row r="21" spans="1:50" s="4" customFormat="1" ht="19.5" thickBot="1" x14ac:dyDescent="0.35">
      <c r="A21" s="152" t="s">
        <v>16</v>
      </c>
      <c r="B21" s="155" t="s">
        <v>194</v>
      </c>
      <c r="C21" s="238">
        <v>37349</v>
      </c>
      <c r="D21" s="145"/>
      <c r="E21" s="233">
        <v>37349</v>
      </c>
      <c r="F21" s="198">
        <f t="shared" si="0"/>
        <v>37349</v>
      </c>
      <c r="G21" s="260">
        <f t="shared" si="1"/>
        <v>0</v>
      </c>
      <c r="H21" s="252"/>
      <c r="I21" s="252"/>
      <c r="J21" s="252"/>
      <c r="K21" s="252"/>
      <c r="L21" s="252"/>
      <c r="M21" s="252"/>
      <c r="N21" s="252">
        <v>37343</v>
      </c>
      <c r="O21" s="252"/>
      <c r="P21" s="252"/>
      <c r="Q21" s="252"/>
      <c r="R21" s="252"/>
      <c r="S21" s="252">
        <v>6</v>
      </c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</row>
    <row r="22" spans="1:50" s="4" customFormat="1" ht="19.5" thickBot="1" x14ac:dyDescent="0.35">
      <c r="A22" s="152" t="s">
        <v>17</v>
      </c>
      <c r="B22" s="155" t="s">
        <v>195</v>
      </c>
      <c r="C22" s="238">
        <v>64927</v>
      </c>
      <c r="D22" s="145"/>
      <c r="E22" s="233">
        <v>64927</v>
      </c>
      <c r="F22" s="198">
        <f t="shared" si="0"/>
        <v>64927</v>
      </c>
      <c r="G22" s="260">
        <f t="shared" si="1"/>
        <v>0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2">
        <v>23354</v>
      </c>
      <c r="R22" s="252"/>
      <c r="S22" s="252">
        <v>5377</v>
      </c>
      <c r="T22" s="252"/>
      <c r="U22" s="252">
        <v>5970.79</v>
      </c>
      <c r="V22" s="252">
        <v>2547.0300000000002</v>
      </c>
      <c r="W22" s="252"/>
      <c r="X22" s="252"/>
      <c r="Y22" s="252"/>
      <c r="Z22" s="252">
        <v>9910</v>
      </c>
      <c r="AA22" s="252"/>
      <c r="AB22" s="252"/>
      <c r="AC22" s="252">
        <v>5002</v>
      </c>
      <c r="AD22" s="252">
        <v>12766.18</v>
      </c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</row>
    <row r="23" spans="1:50" s="4" customFormat="1" ht="19.5" thickBot="1" x14ac:dyDescent="0.35">
      <c r="A23" s="152" t="s">
        <v>18</v>
      </c>
      <c r="B23" s="155" t="s">
        <v>196</v>
      </c>
      <c r="C23" s="238">
        <v>325719</v>
      </c>
      <c r="D23" s="145"/>
      <c r="E23" s="233">
        <v>325719</v>
      </c>
      <c r="F23" s="198">
        <f t="shared" si="0"/>
        <v>325719</v>
      </c>
      <c r="G23" s="260">
        <f t="shared" si="1"/>
        <v>0</v>
      </c>
      <c r="H23" s="252"/>
      <c r="I23" s="252"/>
      <c r="J23" s="252"/>
      <c r="K23" s="252"/>
      <c r="L23" s="252"/>
      <c r="M23" s="252"/>
      <c r="N23" s="252"/>
      <c r="O23" s="252"/>
      <c r="P23" s="252">
        <v>2940</v>
      </c>
      <c r="Q23" s="252">
        <v>54383</v>
      </c>
      <c r="R23" s="252">
        <v>6890</v>
      </c>
      <c r="S23" s="252">
        <v>19639</v>
      </c>
      <c r="T23" s="252"/>
      <c r="U23" s="252">
        <v>37952.67</v>
      </c>
      <c r="V23" s="252">
        <v>4925.68</v>
      </c>
      <c r="W23" s="252"/>
      <c r="X23" s="252"/>
      <c r="Y23" s="252">
        <v>5001.91</v>
      </c>
      <c r="Z23" s="252">
        <f>13403.29+5001.91+23773.24</f>
        <v>42178.44</v>
      </c>
      <c r="AA23" s="252">
        <v>12191.77</v>
      </c>
      <c r="AB23" s="252">
        <v>44272.23</v>
      </c>
      <c r="AC23" s="252">
        <v>82985.38</v>
      </c>
      <c r="AD23" s="252">
        <v>12358.92</v>
      </c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</row>
    <row r="24" spans="1:50" s="4" customFormat="1" ht="19.5" thickBot="1" x14ac:dyDescent="0.35">
      <c r="A24" s="152" t="s">
        <v>19</v>
      </c>
      <c r="B24" s="155" t="s">
        <v>197</v>
      </c>
      <c r="C24" s="238">
        <v>70172</v>
      </c>
      <c r="D24" s="145"/>
      <c r="E24" s="233">
        <v>70172</v>
      </c>
      <c r="F24" s="198">
        <f t="shared" si="0"/>
        <v>70172</v>
      </c>
      <c r="G24" s="260">
        <f t="shared" si="1"/>
        <v>0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>
        <f>26519+43653</f>
        <v>70172</v>
      </c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</row>
    <row r="25" spans="1:50" s="4" customFormat="1" ht="19.5" thickBot="1" x14ac:dyDescent="0.35">
      <c r="A25" s="152" t="s">
        <v>20</v>
      </c>
      <c r="B25" s="155" t="s">
        <v>198</v>
      </c>
      <c r="C25" s="238">
        <v>10000</v>
      </c>
      <c r="D25" s="145">
        <v>9025</v>
      </c>
      <c r="E25" s="233">
        <v>0</v>
      </c>
      <c r="F25" s="198">
        <f t="shared" si="0"/>
        <v>0</v>
      </c>
      <c r="G25" s="260">
        <f t="shared" si="1"/>
        <v>0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</row>
    <row r="26" spans="1:50" s="4" customFormat="1" ht="19.5" thickBot="1" x14ac:dyDescent="0.35">
      <c r="A26" s="152" t="s">
        <v>21</v>
      </c>
      <c r="B26" s="155" t="s">
        <v>199</v>
      </c>
      <c r="C26" s="238">
        <v>812908</v>
      </c>
      <c r="D26" s="145"/>
      <c r="E26" s="233">
        <v>812908</v>
      </c>
      <c r="F26" s="198">
        <f t="shared" si="0"/>
        <v>812907.99999999988</v>
      </c>
      <c r="G26" s="260">
        <f t="shared" si="1"/>
        <v>0</v>
      </c>
      <c r="H26" s="252"/>
      <c r="I26" s="252"/>
      <c r="J26" s="252"/>
      <c r="K26" s="252"/>
      <c r="L26" s="252"/>
      <c r="M26" s="252"/>
      <c r="N26" s="252"/>
      <c r="O26" s="252">
        <v>5380</v>
      </c>
      <c r="P26" s="252">
        <v>32705</v>
      </c>
      <c r="Q26" s="252">
        <v>25832</v>
      </c>
      <c r="R26" s="252">
        <v>48445</v>
      </c>
      <c r="S26" s="252">
        <v>31137</v>
      </c>
      <c r="T26" s="252"/>
      <c r="U26" s="252"/>
      <c r="V26" s="252"/>
      <c r="W26" s="252">
        <v>92926</v>
      </c>
      <c r="X26" s="252">
        <v>159887.5</v>
      </c>
      <c r="Y26" s="252"/>
      <c r="Z26" s="252">
        <v>32114.07</v>
      </c>
      <c r="AA26" s="252"/>
      <c r="AB26" s="252">
        <v>150064.4</v>
      </c>
      <c r="AC26" s="252">
        <v>86032.09</v>
      </c>
      <c r="AD26" s="252">
        <v>120815.71</v>
      </c>
      <c r="AE26" s="252">
        <v>27569.23</v>
      </c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</row>
    <row r="27" spans="1:50" s="4" customFormat="1" ht="19.5" thickBot="1" x14ac:dyDescent="0.35">
      <c r="A27" s="152" t="s">
        <v>22</v>
      </c>
      <c r="B27" s="155" t="s">
        <v>200</v>
      </c>
      <c r="C27" s="238">
        <v>26049</v>
      </c>
      <c r="D27" s="145"/>
      <c r="E27" s="233">
        <v>26049</v>
      </c>
      <c r="F27" s="198">
        <f t="shared" si="0"/>
        <v>26049</v>
      </c>
      <c r="G27" s="260">
        <f t="shared" si="1"/>
        <v>0</v>
      </c>
      <c r="H27" s="252"/>
      <c r="I27" s="252"/>
      <c r="J27" s="252"/>
      <c r="K27" s="252"/>
      <c r="L27" s="252"/>
      <c r="M27" s="252"/>
      <c r="N27" s="252"/>
      <c r="O27" s="252">
        <v>7839</v>
      </c>
      <c r="P27" s="252"/>
      <c r="Q27" s="252"/>
      <c r="R27" s="252"/>
      <c r="S27" s="252">
        <v>18210</v>
      </c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</row>
    <row r="28" spans="1:50" s="4" customFormat="1" ht="19.5" thickBot="1" x14ac:dyDescent="0.35">
      <c r="A28" s="152" t="s">
        <v>23</v>
      </c>
      <c r="B28" s="155" t="s">
        <v>423</v>
      </c>
      <c r="C28" s="238">
        <v>25517</v>
      </c>
      <c r="D28" s="145"/>
      <c r="E28" s="233">
        <v>25517</v>
      </c>
      <c r="F28" s="198">
        <f t="shared" si="0"/>
        <v>25517</v>
      </c>
      <c r="G28" s="260">
        <f t="shared" si="1"/>
        <v>0</v>
      </c>
      <c r="H28" s="252"/>
      <c r="I28" s="252"/>
      <c r="J28" s="252"/>
      <c r="K28" s="252"/>
      <c r="L28" s="252"/>
      <c r="M28" s="252"/>
      <c r="N28" s="252"/>
      <c r="O28" s="252"/>
      <c r="P28" s="252"/>
      <c r="Q28" s="252">
        <v>14507</v>
      </c>
      <c r="R28" s="252"/>
      <c r="S28" s="252">
        <v>72</v>
      </c>
      <c r="T28" s="252"/>
      <c r="U28" s="252"/>
      <c r="V28" s="252">
        <v>5937.77</v>
      </c>
      <c r="W28" s="252"/>
      <c r="X28" s="252"/>
      <c r="Y28" s="252"/>
      <c r="Z28" s="252"/>
      <c r="AA28" s="252">
        <v>5000.2299999999996</v>
      </c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</row>
    <row r="29" spans="1:50" s="4" customFormat="1" ht="19.5" thickBot="1" x14ac:dyDescent="0.35">
      <c r="A29" s="152" t="s">
        <v>24</v>
      </c>
      <c r="B29" s="155" t="s">
        <v>425</v>
      </c>
      <c r="C29" s="238">
        <v>10000</v>
      </c>
      <c r="D29" s="145"/>
      <c r="E29" s="233">
        <v>10000</v>
      </c>
      <c r="F29" s="198">
        <f t="shared" si="0"/>
        <v>10000</v>
      </c>
      <c r="G29" s="260">
        <f t="shared" si="1"/>
        <v>0</v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>
        <v>10000</v>
      </c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</row>
    <row r="30" spans="1:50" s="4" customFormat="1" ht="19.5" thickBot="1" x14ac:dyDescent="0.35">
      <c r="A30" s="152" t="s">
        <v>25</v>
      </c>
      <c r="B30" s="155" t="s">
        <v>427</v>
      </c>
      <c r="C30" s="238">
        <v>10000</v>
      </c>
      <c r="D30" s="145"/>
      <c r="E30" s="233">
        <v>10000</v>
      </c>
      <c r="F30" s="198">
        <f t="shared" si="0"/>
        <v>10000</v>
      </c>
      <c r="G30" s="260">
        <f t="shared" si="1"/>
        <v>0</v>
      </c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>
        <v>10000</v>
      </c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</row>
    <row r="31" spans="1:50" s="4" customFormat="1" ht="19.5" thickBot="1" x14ac:dyDescent="0.35">
      <c r="A31" s="152" t="s">
        <v>26</v>
      </c>
      <c r="B31" s="155" t="s">
        <v>428</v>
      </c>
      <c r="C31" s="238">
        <v>10000</v>
      </c>
      <c r="D31" s="145"/>
      <c r="E31" s="233">
        <v>10000</v>
      </c>
      <c r="F31" s="198">
        <f t="shared" si="0"/>
        <v>10000</v>
      </c>
      <c r="G31" s="260">
        <f t="shared" si="1"/>
        <v>0</v>
      </c>
      <c r="H31" s="252"/>
      <c r="I31" s="252"/>
      <c r="J31" s="252"/>
      <c r="K31" s="252"/>
      <c r="L31" s="252"/>
      <c r="M31" s="252">
        <v>5418</v>
      </c>
      <c r="N31" s="252"/>
      <c r="O31" s="252"/>
      <c r="P31" s="252">
        <v>1741</v>
      </c>
      <c r="Q31" s="252"/>
      <c r="R31" s="252">
        <v>1170</v>
      </c>
      <c r="S31" s="252">
        <v>1660</v>
      </c>
      <c r="T31" s="252"/>
      <c r="U31" s="252"/>
      <c r="V31" s="252"/>
      <c r="W31" s="252"/>
      <c r="X31" s="252"/>
      <c r="Y31" s="252"/>
      <c r="Z31" s="252"/>
      <c r="AA31" s="252"/>
      <c r="AB31" s="252">
        <f>9.41+1.59</f>
        <v>11</v>
      </c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</row>
    <row r="32" spans="1:50" s="4" customFormat="1" ht="19.5" thickBot="1" x14ac:dyDescent="0.35">
      <c r="A32" s="152" t="s">
        <v>27</v>
      </c>
      <c r="B32" s="155" t="s">
        <v>429</v>
      </c>
      <c r="C32" s="238">
        <v>10000</v>
      </c>
      <c r="D32" s="145"/>
      <c r="E32" s="233">
        <v>10000</v>
      </c>
      <c r="F32" s="198">
        <f t="shared" si="0"/>
        <v>10000</v>
      </c>
      <c r="G32" s="260">
        <f t="shared" si="1"/>
        <v>0</v>
      </c>
      <c r="H32" s="252"/>
      <c r="I32" s="252"/>
      <c r="J32" s="252"/>
      <c r="K32" s="252"/>
      <c r="L32" s="252"/>
      <c r="M32" s="252"/>
      <c r="N32" s="252"/>
      <c r="O32" s="252"/>
      <c r="P32" s="252"/>
      <c r="Q32" s="252">
        <v>10000</v>
      </c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</row>
    <row r="33" spans="1:50" s="4" customFormat="1" ht="19.5" thickBot="1" x14ac:dyDescent="0.35">
      <c r="A33" s="152" t="s">
        <v>28</v>
      </c>
      <c r="B33" s="155" t="s">
        <v>430</v>
      </c>
      <c r="C33" s="238">
        <v>0</v>
      </c>
      <c r="D33" s="145"/>
      <c r="E33" s="233">
        <v>0</v>
      </c>
      <c r="F33" s="198">
        <f t="shared" si="0"/>
        <v>0</v>
      </c>
      <c r="G33" s="260">
        <f t="shared" si="1"/>
        <v>0</v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</row>
    <row r="34" spans="1:50" s="4" customFormat="1" ht="19.5" thickBot="1" x14ac:dyDescent="0.35">
      <c r="A34" s="152" t="s">
        <v>29</v>
      </c>
      <c r="B34" s="155" t="s">
        <v>431</v>
      </c>
      <c r="C34" s="238">
        <v>21723</v>
      </c>
      <c r="D34" s="145"/>
      <c r="E34" s="233">
        <v>21723</v>
      </c>
      <c r="F34" s="198">
        <f t="shared" si="0"/>
        <v>21723</v>
      </c>
      <c r="G34" s="260">
        <f t="shared" si="1"/>
        <v>0</v>
      </c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>
        <v>6959</v>
      </c>
      <c r="S34" s="252">
        <v>14764</v>
      </c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</row>
    <row r="35" spans="1:50" s="4" customFormat="1" ht="19.5" thickBot="1" x14ac:dyDescent="0.35">
      <c r="A35" s="152" t="s">
        <v>30</v>
      </c>
      <c r="B35" s="155" t="s">
        <v>433</v>
      </c>
      <c r="C35" s="238">
        <v>10000</v>
      </c>
      <c r="D35" s="145"/>
      <c r="E35" s="233">
        <v>10000</v>
      </c>
      <c r="F35" s="198">
        <f t="shared" si="0"/>
        <v>10000</v>
      </c>
      <c r="G35" s="260">
        <f t="shared" si="1"/>
        <v>0</v>
      </c>
      <c r="H35" s="252"/>
      <c r="I35" s="252"/>
      <c r="J35" s="252"/>
      <c r="K35" s="252"/>
      <c r="L35" s="252"/>
      <c r="M35" s="252"/>
      <c r="N35" s="252"/>
      <c r="O35" s="252"/>
      <c r="P35" s="252">
        <v>10000</v>
      </c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</row>
    <row r="36" spans="1:50" s="4" customFormat="1" ht="19.5" thickBot="1" x14ac:dyDescent="0.35">
      <c r="A36" s="152" t="s">
        <v>31</v>
      </c>
      <c r="B36" s="155" t="s">
        <v>209</v>
      </c>
      <c r="C36" s="238">
        <v>218356</v>
      </c>
      <c r="D36" s="145"/>
      <c r="E36" s="233">
        <v>218356</v>
      </c>
      <c r="F36" s="198">
        <f t="shared" si="0"/>
        <v>218356</v>
      </c>
      <c r="G36" s="260">
        <f t="shared" si="1"/>
        <v>0</v>
      </c>
      <c r="H36" s="252"/>
      <c r="I36" s="252"/>
      <c r="J36" s="252"/>
      <c r="K36" s="252"/>
      <c r="L36" s="252"/>
      <c r="M36" s="252"/>
      <c r="N36" s="252"/>
      <c r="O36" s="252">
        <v>24082</v>
      </c>
      <c r="P36" s="252"/>
      <c r="Q36" s="252"/>
      <c r="R36" s="252"/>
      <c r="S36" s="252">
        <v>91909</v>
      </c>
      <c r="T36" s="252"/>
      <c r="U36" s="252"/>
      <c r="V36" s="252"/>
      <c r="W36" s="252">
        <v>39895.82</v>
      </c>
      <c r="X36" s="252"/>
      <c r="Y36" s="252"/>
      <c r="Z36" s="252"/>
      <c r="AA36" s="252">
        <v>62469.18</v>
      </c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</row>
    <row r="37" spans="1:50" s="4" customFormat="1" ht="19.5" thickBot="1" x14ac:dyDescent="0.35">
      <c r="A37" s="152" t="s">
        <v>32</v>
      </c>
      <c r="B37" s="155" t="s">
        <v>210</v>
      </c>
      <c r="C37" s="238">
        <v>150100</v>
      </c>
      <c r="D37" s="145"/>
      <c r="E37" s="233">
        <v>150100</v>
      </c>
      <c r="F37" s="198">
        <f t="shared" si="0"/>
        <v>150100</v>
      </c>
      <c r="G37" s="260">
        <f t="shared" si="1"/>
        <v>0</v>
      </c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>
        <v>62344</v>
      </c>
      <c r="T37" s="252">
        <v>18203</v>
      </c>
      <c r="U37" s="252">
        <v>29709</v>
      </c>
      <c r="V37" s="252">
        <v>11266</v>
      </c>
      <c r="W37" s="252"/>
      <c r="X37" s="252"/>
      <c r="Y37" s="252"/>
      <c r="Z37" s="252"/>
      <c r="AA37" s="252"/>
      <c r="AB37" s="252">
        <v>428.23</v>
      </c>
      <c r="AC37" s="252"/>
      <c r="AD37" s="252">
        <f>3439.46+24710.31</f>
        <v>28149.77</v>
      </c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</row>
    <row r="38" spans="1:50" s="4" customFormat="1" ht="19.5" thickBot="1" x14ac:dyDescent="0.35">
      <c r="A38" s="152" t="s">
        <v>33</v>
      </c>
      <c r="B38" s="155" t="s">
        <v>211</v>
      </c>
      <c r="C38" s="238">
        <v>12006</v>
      </c>
      <c r="D38" s="145"/>
      <c r="E38" s="233">
        <v>12006</v>
      </c>
      <c r="F38" s="198">
        <f t="shared" si="0"/>
        <v>12006</v>
      </c>
      <c r="G38" s="260">
        <f t="shared" si="1"/>
        <v>0</v>
      </c>
      <c r="H38" s="252"/>
      <c r="I38" s="252"/>
      <c r="J38" s="252"/>
      <c r="K38" s="252"/>
      <c r="L38" s="252"/>
      <c r="M38" s="252">
        <v>6002</v>
      </c>
      <c r="N38" s="252"/>
      <c r="O38" s="252"/>
      <c r="P38" s="252"/>
      <c r="Q38" s="252"/>
      <c r="R38" s="252"/>
      <c r="S38" s="252">
        <v>6002</v>
      </c>
      <c r="T38" s="252"/>
      <c r="U38" s="252"/>
      <c r="V38" s="252"/>
      <c r="W38" s="252"/>
      <c r="X38" s="252"/>
      <c r="Y38" s="252">
        <v>2</v>
      </c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</row>
    <row r="39" spans="1:50" s="4" customFormat="1" ht="19.5" thickBot="1" x14ac:dyDescent="0.35">
      <c r="A39" s="152" t="s">
        <v>34</v>
      </c>
      <c r="B39" s="155" t="s">
        <v>212</v>
      </c>
      <c r="C39" s="238">
        <v>10727</v>
      </c>
      <c r="D39" s="145"/>
      <c r="E39" s="233">
        <v>10727</v>
      </c>
      <c r="F39" s="198">
        <f t="shared" si="0"/>
        <v>10726.999999999998</v>
      </c>
      <c r="G39" s="260">
        <f t="shared" si="1"/>
        <v>0</v>
      </c>
      <c r="H39" s="252"/>
      <c r="I39" s="252"/>
      <c r="J39" s="252"/>
      <c r="K39" s="252"/>
      <c r="L39" s="252">
        <v>1932</v>
      </c>
      <c r="M39" s="252"/>
      <c r="N39" s="252"/>
      <c r="O39" s="252"/>
      <c r="P39" s="252"/>
      <c r="Q39" s="252"/>
      <c r="R39" s="252">
        <f>358+603+108</f>
        <v>1069</v>
      </c>
      <c r="S39" s="252">
        <v>3175</v>
      </c>
      <c r="T39" s="252">
        <v>2229</v>
      </c>
      <c r="U39" s="252"/>
      <c r="V39" s="252"/>
      <c r="W39" s="252"/>
      <c r="X39" s="252"/>
      <c r="Y39" s="252">
        <v>299</v>
      </c>
      <c r="Z39" s="252">
        <v>557.38</v>
      </c>
      <c r="AA39" s="252">
        <v>316</v>
      </c>
      <c r="AB39" s="252">
        <v>268.07</v>
      </c>
      <c r="AC39" s="252">
        <f>91.99+375.82</f>
        <v>467.81</v>
      </c>
      <c r="AD39" s="252">
        <v>413.74</v>
      </c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</row>
    <row r="40" spans="1:50" s="4" customFormat="1" ht="19.5" thickBot="1" x14ac:dyDescent="0.35">
      <c r="A40" s="152" t="s">
        <v>35</v>
      </c>
      <c r="B40" s="155" t="s">
        <v>213</v>
      </c>
      <c r="C40" s="238">
        <v>10000</v>
      </c>
      <c r="D40" s="145">
        <v>9025</v>
      </c>
      <c r="E40" s="233">
        <v>0</v>
      </c>
      <c r="F40" s="198">
        <f t="shared" si="0"/>
        <v>0</v>
      </c>
      <c r="G40" s="260">
        <f t="shared" si="1"/>
        <v>0</v>
      </c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</row>
    <row r="41" spans="1:50" s="4" customFormat="1" ht="19.5" thickBot="1" x14ac:dyDescent="0.35">
      <c r="A41" s="152" t="s">
        <v>36</v>
      </c>
      <c r="B41" s="155" t="s">
        <v>439</v>
      </c>
      <c r="C41" s="238">
        <v>10000</v>
      </c>
      <c r="D41" s="145">
        <v>9025</v>
      </c>
      <c r="E41" s="233">
        <v>0</v>
      </c>
      <c r="F41" s="198">
        <f t="shared" si="0"/>
        <v>0</v>
      </c>
      <c r="G41" s="260">
        <f t="shared" si="1"/>
        <v>0</v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</row>
    <row r="42" spans="1:50" s="4" customFormat="1" ht="19.5" thickBot="1" x14ac:dyDescent="0.35">
      <c r="A42" s="152" t="s">
        <v>37</v>
      </c>
      <c r="B42" s="155" t="s">
        <v>440</v>
      </c>
      <c r="C42" s="238">
        <v>10000</v>
      </c>
      <c r="D42" s="145"/>
      <c r="E42" s="233">
        <v>10000</v>
      </c>
      <c r="F42" s="198">
        <f t="shared" si="0"/>
        <v>10000</v>
      </c>
      <c r="G42" s="260">
        <f t="shared" si="1"/>
        <v>0</v>
      </c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>
        <v>1269</v>
      </c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>
        <v>8731</v>
      </c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</row>
    <row r="43" spans="1:50" s="4" customFormat="1" ht="19.5" thickBot="1" x14ac:dyDescent="0.35">
      <c r="A43" s="152" t="s">
        <v>38</v>
      </c>
      <c r="B43" s="155" t="s">
        <v>442</v>
      </c>
      <c r="C43" s="238">
        <v>20125</v>
      </c>
      <c r="D43" s="145"/>
      <c r="E43" s="233">
        <v>20125</v>
      </c>
      <c r="F43" s="198">
        <f t="shared" si="0"/>
        <v>20125</v>
      </c>
      <c r="G43" s="260">
        <f t="shared" si="1"/>
        <v>0</v>
      </c>
      <c r="H43" s="252"/>
      <c r="I43" s="252"/>
      <c r="J43" s="252"/>
      <c r="K43" s="252"/>
      <c r="L43" s="252">
        <f>3230</f>
        <v>3230</v>
      </c>
      <c r="M43" s="252">
        <v>7030</v>
      </c>
      <c r="N43" s="252"/>
      <c r="O43" s="252">
        <v>3030</v>
      </c>
      <c r="P43" s="252"/>
      <c r="Q43" s="252"/>
      <c r="R43" s="252">
        <v>5030</v>
      </c>
      <c r="S43" s="252"/>
      <c r="T43" s="252"/>
      <c r="U43" s="252"/>
      <c r="V43" s="252">
        <v>1805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</row>
    <row r="44" spans="1:50" s="4" customFormat="1" ht="19.5" thickBot="1" x14ac:dyDescent="0.35">
      <c r="A44" s="152" t="s">
        <v>39</v>
      </c>
      <c r="B44" s="155" t="s">
        <v>217</v>
      </c>
      <c r="C44" s="238">
        <v>10000</v>
      </c>
      <c r="D44" s="145"/>
      <c r="E44" s="233">
        <v>10000</v>
      </c>
      <c r="F44" s="198">
        <f t="shared" si="0"/>
        <v>10000</v>
      </c>
      <c r="G44" s="260">
        <f t="shared" si="1"/>
        <v>0</v>
      </c>
      <c r="H44" s="252"/>
      <c r="I44" s="252"/>
      <c r="J44" s="252"/>
      <c r="K44" s="252"/>
      <c r="L44" s="252"/>
      <c r="M44" s="252"/>
      <c r="N44" s="252">
        <v>520</v>
      </c>
      <c r="O44" s="252"/>
      <c r="P44" s="252"/>
      <c r="Q44" s="252"/>
      <c r="R44" s="252"/>
      <c r="S44" s="252">
        <v>9480</v>
      </c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</row>
    <row r="45" spans="1:50" s="4" customFormat="1" ht="19.5" thickBot="1" x14ac:dyDescent="0.35">
      <c r="A45" s="152" t="s">
        <v>40</v>
      </c>
      <c r="B45" s="155" t="s">
        <v>444</v>
      </c>
      <c r="C45" s="238">
        <v>10269</v>
      </c>
      <c r="D45" s="145"/>
      <c r="E45" s="233">
        <v>10269</v>
      </c>
      <c r="F45" s="198">
        <f t="shared" si="0"/>
        <v>10269</v>
      </c>
      <c r="G45" s="260">
        <f t="shared" si="1"/>
        <v>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>
        <v>4329</v>
      </c>
      <c r="AA45" s="252">
        <v>523.65</v>
      </c>
      <c r="AB45" s="252"/>
      <c r="AC45" s="252">
        <v>231.2</v>
      </c>
      <c r="AD45" s="252">
        <v>4679.74</v>
      </c>
      <c r="AE45" s="252">
        <v>505.41</v>
      </c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</row>
    <row r="46" spans="1:50" s="4" customFormat="1" ht="19.5" thickBot="1" x14ac:dyDescent="0.35">
      <c r="A46" s="152" t="s">
        <v>41</v>
      </c>
      <c r="B46" s="155" t="s">
        <v>219</v>
      </c>
      <c r="C46" s="238">
        <v>10000</v>
      </c>
      <c r="D46" s="145"/>
      <c r="E46" s="233">
        <v>10000</v>
      </c>
      <c r="F46" s="198">
        <f t="shared" si="0"/>
        <v>10000</v>
      </c>
      <c r="G46" s="260">
        <f t="shared" si="1"/>
        <v>0</v>
      </c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>
        <v>10000</v>
      </c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s="4" customFormat="1" ht="19.5" thickBot="1" x14ac:dyDescent="0.35">
      <c r="A47" s="152" t="s">
        <v>42</v>
      </c>
      <c r="B47" s="155" t="s">
        <v>220</v>
      </c>
      <c r="C47" s="238">
        <v>10000</v>
      </c>
      <c r="D47" s="145"/>
      <c r="E47" s="233">
        <v>10000</v>
      </c>
      <c r="F47" s="198">
        <f t="shared" si="0"/>
        <v>10000</v>
      </c>
      <c r="G47" s="260">
        <f t="shared" si="1"/>
        <v>0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>
        <v>8185</v>
      </c>
      <c r="AE47" s="252">
        <v>1815</v>
      </c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</row>
    <row r="48" spans="1:50" s="4" customFormat="1" ht="19.5" thickBot="1" x14ac:dyDescent="0.35">
      <c r="A48" s="152" t="s">
        <v>43</v>
      </c>
      <c r="B48" s="155" t="s">
        <v>446</v>
      </c>
      <c r="C48" s="238">
        <v>15031</v>
      </c>
      <c r="D48" s="145"/>
      <c r="E48" s="233">
        <v>15031</v>
      </c>
      <c r="F48" s="198">
        <f t="shared" si="0"/>
        <v>15031</v>
      </c>
      <c r="G48" s="260">
        <f t="shared" si="1"/>
        <v>0</v>
      </c>
      <c r="H48" s="252"/>
      <c r="I48" s="252"/>
      <c r="J48" s="252"/>
      <c r="K48" s="252"/>
      <c r="L48" s="252"/>
      <c r="M48" s="252"/>
      <c r="N48" s="252"/>
      <c r="O48" s="252">
        <v>15031</v>
      </c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</row>
    <row r="49" spans="1:50" s="4" customFormat="1" ht="19.5" thickBot="1" x14ac:dyDescent="0.35">
      <c r="A49" s="152" t="s">
        <v>44</v>
      </c>
      <c r="B49" s="155" t="s">
        <v>448</v>
      </c>
      <c r="C49" s="238">
        <v>10000</v>
      </c>
      <c r="D49" s="145"/>
      <c r="E49" s="233">
        <v>10000</v>
      </c>
      <c r="F49" s="198">
        <f t="shared" si="0"/>
        <v>10000</v>
      </c>
      <c r="G49" s="260">
        <f t="shared" si="1"/>
        <v>0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>
        <v>10000</v>
      </c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</row>
    <row r="50" spans="1:50" s="4" customFormat="1" ht="19.5" thickBot="1" x14ac:dyDescent="0.35">
      <c r="A50" s="152" t="s">
        <v>45</v>
      </c>
      <c r="B50" s="155" t="s">
        <v>223</v>
      </c>
      <c r="C50" s="238">
        <v>55912</v>
      </c>
      <c r="D50" s="145"/>
      <c r="E50" s="233">
        <v>55912</v>
      </c>
      <c r="F50" s="198">
        <f t="shared" si="0"/>
        <v>55912</v>
      </c>
      <c r="G50" s="260">
        <f t="shared" si="1"/>
        <v>0</v>
      </c>
      <c r="H50" s="252"/>
      <c r="I50" s="252"/>
      <c r="J50" s="252"/>
      <c r="K50" s="252"/>
      <c r="L50" s="252"/>
      <c r="M50" s="252">
        <v>22080</v>
      </c>
      <c r="N50" s="252"/>
      <c r="O50" s="252">
        <v>6507</v>
      </c>
      <c r="P50" s="252">
        <v>1648</v>
      </c>
      <c r="Q50" s="252"/>
      <c r="R50" s="252">
        <v>750</v>
      </c>
      <c r="S50" s="252">
        <v>8676</v>
      </c>
      <c r="T50" s="252"/>
      <c r="U50" s="252"/>
      <c r="V50" s="252"/>
      <c r="W50" s="252"/>
      <c r="X50" s="252"/>
      <c r="Y50" s="252"/>
      <c r="Z50" s="252"/>
      <c r="AA50" s="252"/>
      <c r="AB50" s="252">
        <v>16251</v>
      </c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</row>
    <row r="51" spans="1:50" s="4" customFormat="1" ht="19.5" thickBot="1" x14ac:dyDescent="0.35">
      <c r="A51" s="152" t="s">
        <v>46</v>
      </c>
      <c r="B51" s="155" t="s">
        <v>224</v>
      </c>
      <c r="C51" s="238">
        <v>1954429</v>
      </c>
      <c r="D51" s="145"/>
      <c r="E51" s="233">
        <v>1954429</v>
      </c>
      <c r="F51" s="198">
        <f t="shared" si="0"/>
        <v>1954428.9999999998</v>
      </c>
      <c r="G51" s="260">
        <f t="shared" si="1"/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>
        <f>128709</f>
        <v>128709</v>
      </c>
      <c r="U51" s="252"/>
      <c r="V51" s="252"/>
      <c r="W51" s="252"/>
      <c r="X51" s="252">
        <v>306032.7</v>
      </c>
      <c r="Y51" s="252"/>
      <c r="Z51" s="252">
        <v>236540.4</v>
      </c>
      <c r="AA51" s="252">
        <v>162108.66</v>
      </c>
      <c r="AB51" s="252"/>
      <c r="AC51" s="252"/>
      <c r="AD51" s="252"/>
      <c r="AE51" s="252">
        <v>420925.1</v>
      </c>
      <c r="AF51" s="252"/>
      <c r="AG51" s="252"/>
      <c r="AH51" s="252"/>
      <c r="AI51" s="252"/>
      <c r="AJ51" s="252">
        <v>658336.69999999995</v>
      </c>
      <c r="AK51" s="252"/>
      <c r="AL51" s="252"/>
      <c r="AM51" s="252"/>
      <c r="AN51" s="252"/>
      <c r="AO51" s="252">
        <v>41776.44</v>
      </c>
      <c r="AP51" s="252"/>
      <c r="AQ51" s="252"/>
      <c r="AR51" s="252"/>
      <c r="AS51" s="252"/>
      <c r="AT51" s="252"/>
      <c r="AU51" s="252"/>
      <c r="AV51" s="252"/>
      <c r="AW51" s="252"/>
      <c r="AX51" s="252"/>
    </row>
    <row r="52" spans="1:50" s="4" customFormat="1" ht="19.5" thickBot="1" x14ac:dyDescent="0.35">
      <c r="A52" s="152" t="s">
        <v>47</v>
      </c>
      <c r="B52" s="155" t="s">
        <v>622</v>
      </c>
      <c r="C52" s="238">
        <v>10000</v>
      </c>
      <c r="D52" s="145"/>
      <c r="E52" s="233">
        <v>10000</v>
      </c>
      <c r="F52" s="198">
        <f t="shared" si="0"/>
        <v>10000</v>
      </c>
      <c r="G52" s="260">
        <f t="shared" si="1"/>
        <v>0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>
        <v>5000</v>
      </c>
      <c r="R52" s="252"/>
      <c r="S52" s="252">
        <v>5000</v>
      </c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</row>
    <row r="53" spans="1:50" s="4" customFormat="1" ht="19.5" thickBot="1" x14ac:dyDescent="0.35">
      <c r="A53" s="152" t="s">
        <v>48</v>
      </c>
      <c r="B53" s="155" t="s">
        <v>454</v>
      </c>
      <c r="C53" s="238">
        <v>108804</v>
      </c>
      <c r="D53" s="145"/>
      <c r="E53" s="233">
        <v>108804</v>
      </c>
      <c r="F53" s="198">
        <f t="shared" si="0"/>
        <v>108804</v>
      </c>
      <c r="G53" s="260">
        <f t="shared" si="1"/>
        <v>0</v>
      </c>
      <c r="H53" s="252"/>
      <c r="I53" s="252"/>
      <c r="J53" s="252"/>
      <c r="K53" s="252"/>
      <c r="L53" s="252">
        <v>641</v>
      </c>
      <c r="M53" s="252">
        <v>4750</v>
      </c>
      <c r="N53" s="252">
        <v>9616</v>
      </c>
      <c r="O53" s="252">
        <v>20337</v>
      </c>
      <c r="P53" s="252">
        <v>874</v>
      </c>
      <c r="Q53" s="252">
        <v>5877</v>
      </c>
      <c r="R53" s="252">
        <v>1632</v>
      </c>
      <c r="S53" s="252">
        <v>33535</v>
      </c>
      <c r="T53" s="252">
        <v>17956</v>
      </c>
      <c r="U53" s="252"/>
      <c r="V53" s="252"/>
      <c r="W53" s="252">
        <f>418+7228</f>
        <v>7646</v>
      </c>
      <c r="X53" s="252"/>
      <c r="Y53" s="252">
        <v>2303.5100000000002</v>
      </c>
      <c r="Z53" s="252">
        <v>3636.49</v>
      </c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</row>
    <row r="54" spans="1:50" s="4" customFormat="1" ht="19.5" thickBot="1" x14ac:dyDescent="0.35">
      <c r="A54" s="152" t="s">
        <v>49</v>
      </c>
      <c r="B54" s="155" t="s">
        <v>227</v>
      </c>
      <c r="C54" s="238">
        <v>44306</v>
      </c>
      <c r="D54" s="145"/>
      <c r="E54" s="233">
        <v>44306</v>
      </c>
      <c r="F54" s="198">
        <f t="shared" si="0"/>
        <v>44306</v>
      </c>
      <c r="G54" s="260">
        <f t="shared" si="1"/>
        <v>0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>
        <v>8900</v>
      </c>
      <c r="T54" s="252"/>
      <c r="U54" s="252"/>
      <c r="V54" s="252"/>
      <c r="W54" s="252">
        <v>35406</v>
      </c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</row>
    <row r="55" spans="1:50" s="4" customFormat="1" ht="19.5" thickBot="1" x14ac:dyDescent="0.35">
      <c r="A55" s="152" t="s">
        <v>50</v>
      </c>
      <c r="B55" s="155" t="s">
        <v>228</v>
      </c>
      <c r="C55" s="238">
        <v>10754</v>
      </c>
      <c r="D55" s="145"/>
      <c r="E55" s="233">
        <v>10754</v>
      </c>
      <c r="F55" s="198">
        <f t="shared" si="0"/>
        <v>10754</v>
      </c>
      <c r="G55" s="260">
        <f t="shared" si="1"/>
        <v>0</v>
      </c>
      <c r="H55" s="252"/>
      <c r="I55" s="252"/>
      <c r="J55" s="252"/>
      <c r="K55" s="252"/>
      <c r="L55" s="252"/>
      <c r="M55" s="252"/>
      <c r="N55" s="252"/>
      <c r="O55" s="252">
        <v>4950</v>
      </c>
      <c r="P55" s="252"/>
      <c r="Q55" s="252">
        <v>1238</v>
      </c>
      <c r="R55" s="252"/>
      <c r="S55" s="252">
        <v>4566</v>
      </c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</row>
    <row r="56" spans="1:50" s="4" customFormat="1" ht="19.5" thickBot="1" x14ac:dyDescent="0.35">
      <c r="A56" s="152" t="s">
        <v>51</v>
      </c>
      <c r="B56" s="155" t="s">
        <v>229</v>
      </c>
      <c r="C56" s="238">
        <v>10000</v>
      </c>
      <c r="D56" s="145">
        <v>9025</v>
      </c>
      <c r="E56" s="233">
        <v>0</v>
      </c>
      <c r="F56" s="198">
        <f t="shared" si="0"/>
        <v>0</v>
      </c>
      <c r="G56" s="260">
        <f t="shared" si="1"/>
        <v>0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</row>
    <row r="57" spans="1:50" s="4" customFormat="1" ht="19.5" thickBot="1" x14ac:dyDescent="0.35">
      <c r="A57" s="152" t="s">
        <v>52</v>
      </c>
      <c r="B57" s="155" t="s">
        <v>230</v>
      </c>
      <c r="C57" s="238">
        <v>10000</v>
      </c>
      <c r="D57" s="145"/>
      <c r="E57" s="233">
        <v>10000</v>
      </c>
      <c r="F57" s="198">
        <f t="shared" si="0"/>
        <v>10000</v>
      </c>
      <c r="G57" s="260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>
        <v>10000</v>
      </c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</row>
    <row r="58" spans="1:50" s="4" customFormat="1" ht="19.5" thickBot="1" x14ac:dyDescent="0.35">
      <c r="A58" s="152" t="s">
        <v>53</v>
      </c>
      <c r="B58" s="155" t="s">
        <v>231</v>
      </c>
      <c r="C58" s="238">
        <v>10000</v>
      </c>
      <c r="D58" s="145"/>
      <c r="E58" s="233">
        <v>10000</v>
      </c>
      <c r="F58" s="198">
        <f t="shared" si="0"/>
        <v>10000</v>
      </c>
      <c r="G58" s="260">
        <f t="shared" si="1"/>
        <v>0</v>
      </c>
      <c r="H58" s="252"/>
      <c r="I58" s="252"/>
      <c r="J58" s="252"/>
      <c r="K58" s="252"/>
      <c r="L58" s="252"/>
      <c r="M58" s="252"/>
      <c r="N58" s="252">
        <v>5000</v>
      </c>
      <c r="O58" s="252"/>
      <c r="P58" s="252"/>
      <c r="Q58" s="252"/>
      <c r="R58" s="252"/>
      <c r="S58" s="252">
        <v>5000</v>
      </c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</row>
    <row r="59" spans="1:50" s="4" customFormat="1" ht="19.5" thickBot="1" x14ac:dyDescent="0.35">
      <c r="A59" s="152" t="s">
        <v>54</v>
      </c>
      <c r="B59" s="155" t="s">
        <v>232</v>
      </c>
      <c r="C59" s="238">
        <v>10000</v>
      </c>
      <c r="D59" s="145">
        <v>9025</v>
      </c>
      <c r="E59" s="233">
        <v>0</v>
      </c>
      <c r="F59" s="198">
        <f t="shared" si="0"/>
        <v>0</v>
      </c>
      <c r="G59" s="260">
        <f t="shared" si="1"/>
        <v>0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</row>
    <row r="60" spans="1:50" s="4" customFormat="1" ht="19.5" thickBot="1" x14ac:dyDescent="0.35">
      <c r="A60" s="152" t="s">
        <v>55</v>
      </c>
      <c r="B60" s="155" t="s">
        <v>233</v>
      </c>
      <c r="C60" s="238">
        <v>10000</v>
      </c>
      <c r="D60" s="145"/>
      <c r="E60" s="233">
        <v>10000</v>
      </c>
      <c r="F60" s="198">
        <f t="shared" si="0"/>
        <v>10000</v>
      </c>
      <c r="G60" s="260">
        <f t="shared" si="1"/>
        <v>0</v>
      </c>
      <c r="H60" s="252"/>
      <c r="I60" s="252"/>
      <c r="J60" s="252"/>
      <c r="K60" s="252"/>
      <c r="L60" s="252"/>
      <c r="M60" s="252"/>
      <c r="N60" s="252"/>
      <c r="O60" s="252">
        <v>10000</v>
      </c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</row>
    <row r="61" spans="1:50" s="4" customFormat="1" ht="19.5" thickBot="1" x14ac:dyDescent="0.35">
      <c r="A61" s="152" t="s">
        <v>56</v>
      </c>
      <c r="B61" s="155" t="s">
        <v>234</v>
      </c>
      <c r="C61" s="238">
        <v>255337</v>
      </c>
      <c r="D61" s="145"/>
      <c r="E61" s="233">
        <v>255337</v>
      </c>
      <c r="F61" s="198">
        <f t="shared" si="0"/>
        <v>255337</v>
      </c>
      <c r="G61" s="260">
        <f t="shared" si="1"/>
        <v>0</v>
      </c>
      <c r="H61" s="252"/>
      <c r="I61" s="252"/>
      <c r="J61" s="252"/>
      <c r="K61" s="252"/>
      <c r="L61" s="252"/>
      <c r="M61" s="252"/>
      <c r="N61" s="252">
        <v>106550</v>
      </c>
      <c r="O61" s="252"/>
      <c r="P61" s="252">
        <v>48915</v>
      </c>
      <c r="Q61" s="252"/>
      <c r="R61" s="252"/>
      <c r="S61" s="252">
        <v>44082</v>
      </c>
      <c r="T61" s="252">
        <v>9523</v>
      </c>
      <c r="U61" s="252"/>
      <c r="V61" s="252">
        <v>46217.99</v>
      </c>
      <c r="W61" s="252"/>
      <c r="X61" s="252"/>
      <c r="Y61" s="252"/>
      <c r="Z61" s="252"/>
      <c r="AA61" s="252"/>
      <c r="AB61" s="252"/>
      <c r="AC61" s="252"/>
      <c r="AD61" s="252">
        <v>49.01</v>
      </c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</row>
    <row r="62" spans="1:50" s="4" customFormat="1" ht="19.5" thickBot="1" x14ac:dyDescent="0.35">
      <c r="A62" s="152" t="s">
        <v>57</v>
      </c>
      <c r="B62" s="155" t="s">
        <v>235</v>
      </c>
      <c r="C62" s="238">
        <v>99463</v>
      </c>
      <c r="D62" s="145"/>
      <c r="E62" s="233">
        <v>99463</v>
      </c>
      <c r="F62" s="198">
        <f t="shared" si="0"/>
        <v>99463</v>
      </c>
      <c r="G62" s="260">
        <f t="shared" si="1"/>
        <v>0</v>
      </c>
      <c r="H62" s="252"/>
      <c r="I62" s="252"/>
      <c r="J62" s="252"/>
      <c r="K62" s="252"/>
      <c r="L62" s="252"/>
      <c r="M62" s="252">
        <f>5370+3323</f>
        <v>8693</v>
      </c>
      <c r="N62" s="252">
        <v>14451</v>
      </c>
      <c r="O62" s="252">
        <v>2716</v>
      </c>
      <c r="P62" s="252">
        <v>2890</v>
      </c>
      <c r="Q62" s="252"/>
      <c r="R62" s="252">
        <v>2622</v>
      </c>
      <c r="S62" s="252"/>
      <c r="T62" s="252"/>
      <c r="U62" s="252"/>
      <c r="V62" s="252"/>
      <c r="W62" s="252">
        <v>37267</v>
      </c>
      <c r="X62" s="252">
        <v>11794.27</v>
      </c>
      <c r="Y62" s="252"/>
      <c r="Z62" s="252"/>
      <c r="AA62" s="252">
        <v>19029.73</v>
      </c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</row>
    <row r="63" spans="1:50" s="4" customFormat="1" ht="19.5" thickBot="1" x14ac:dyDescent="0.35">
      <c r="A63" s="152" t="s">
        <v>58</v>
      </c>
      <c r="B63" s="155" t="s">
        <v>236</v>
      </c>
      <c r="C63" s="238">
        <v>92143</v>
      </c>
      <c r="D63" s="145"/>
      <c r="E63" s="233">
        <v>92143</v>
      </c>
      <c r="F63" s="198">
        <f t="shared" si="0"/>
        <v>92143</v>
      </c>
      <c r="G63" s="260">
        <f t="shared" si="1"/>
        <v>0</v>
      </c>
      <c r="H63" s="252"/>
      <c r="I63" s="252"/>
      <c r="J63" s="252"/>
      <c r="K63" s="252"/>
      <c r="L63" s="252"/>
      <c r="M63" s="252"/>
      <c r="N63" s="283"/>
      <c r="O63" s="252"/>
      <c r="P63" s="252"/>
      <c r="Q63" s="252"/>
      <c r="R63" s="252">
        <v>2874</v>
      </c>
      <c r="S63" s="252">
        <v>51776</v>
      </c>
      <c r="T63" s="252"/>
      <c r="U63" s="252"/>
      <c r="V63" s="252"/>
      <c r="W63" s="252">
        <v>3654.61</v>
      </c>
      <c r="X63" s="252"/>
      <c r="Y63" s="252">
        <f>398+4342.01</f>
        <v>4740.01</v>
      </c>
      <c r="Z63" s="252">
        <v>1354.9</v>
      </c>
      <c r="AA63" s="252">
        <v>8872.51</v>
      </c>
      <c r="AB63" s="252"/>
      <c r="AC63" s="252"/>
      <c r="AD63" s="252"/>
      <c r="AE63" s="252">
        <v>18870.97</v>
      </c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</row>
    <row r="64" spans="1:50" s="4" customFormat="1" ht="19.5" thickBot="1" x14ac:dyDescent="0.35">
      <c r="A64" s="152" t="s">
        <v>59</v>
      </c>
      <c r="B64" s="155" t="s">
        <v>237</v>
      </c>
      <c r="C64" s="238">
        <v>466486</v>
      </c>
      <c r="D64" s="145"/>
      <c r="E64" s="233">
        <v>466486</v>
      </c>
      <c r="F64" s="198">
        <f t="shared" si="0"/>
        <v>466486</v>
      </c>
      <c r="G64" s="260">
        <f t="shared" si="1"/>
        <v>0</v>
      </c>
      <c r="H64" s="252"/>
      <c r="I64" s="252"/>
      <c r="J64" s="252"/>
      <c r="K64" s="252"/>
      <c r="L64" s="252"/>
      <c r="M64" s="252"/>
      <c r="N64" s="252">
        <v>1543</v>
      </c>
      <c r="O64" s="252">
        <v>37052</v>
      </c>
      <c r="P64" s="252">
        <v>19500</v>
      </c>
      <c r="Q64" s="283"/>
      <c r="R64" s="252">
        <f>49513+81164</f>
        <v>130677</v>
      </c>
      <c r="S64" s="252">
        <v>18279</v>
      </c>
      <c r="T64" s="252">
        <v>39759</v>
      </c>
      <c r="U64" s="252"/>
      <c r="V64" s="252">
        <v>13380.06</v>
      </c>
      <c r="W64" s="252"/>
      <c r="X64" s="252"/>
      <c r="Y64" s="252"/>
      <c r="Z64" s="252">
        <v>144259.89000000001</v>
      </c>
      <c r="AA64" s="252">
        <f>44237.72+17798.33</f>
        <v>62036.05</v>
      </c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</row>
    <row r="65" spans="1:50" s="4" customFormat="1" ht="19.5" thickBot="1" x14ac:dyDescent="0.35">
      <c r="A65" s="152" t="s">
        <v>60</v>
      </c>
      <c r="B65" s="155" t="s">
        <v>238</v>
      </c>
      <c r="C65" s="238">
        <v>13418</v>
      </c>
      <c r="D65" s="145"/>
      <c r="E65" s="233">
        <v>13418</v>
      </c>
      <c r="F65" s="198">
        <f t="shared" si="0"/>
        <v>13418</v>
      </c>
      <c r="G65" s="260">
        <f t="shared" si="1"/>
        <v>0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>
        <v>13418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</row>
    <row r="66" spans="1:50" s="4" customFormat="1" ht="19.5" thickBot="1" x14ac:dyDescent="0.35">
      <c r="A66" s="152" t="s">
        <v>61</v>
      </c>
      <c r="B66" s="155" t="s">
        <v>239</v>
      </c>
      <c r="C66" s="238">
        <v>11827</v>
      </c>
      <c r="D66" s="145"/>
      <c r="E66" s="233">
        <v>11827</v>
      </c>
      <c r="F66" s="198">
        <f t="shared" si="0"/>
        <v>11827</v>
      </c>
      <c r="G66" s="260">
        <f t="shared" si="1"/>
        <v>0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>
        <v>11827</v>
      </c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</row>
    <row r="67" spans="1:50" s="4" customFormat="1" ht="19.5" thickBot="1" x14ac:dyDescent="0.35">
      <c r="A67" s="152" t="s">
        <v>62</v>
      </c>
      <c r="B67" s="155" t="s">
        <v>240</v>
      </c>
      <c r="C67" s="238">
        <v>70044</v>
      </c>
      <c r="D67" s="145"/>
      <c r="E67" s="233">
        <v>70044</v>
      </c>
      <c r="F67" s="198">
        <f t="shared" si="0"/>
        <v>70044</v>
      </c>
      <c r="G67" s="260">
        <f t="shared" si="1"/>
        <v>0</v>
      </c>
      <c r="H67" s="252"/>
      <c r="I67" s="252"/>
      <c r="J67" s="252"/>
      <c r="K67" s="252"/>
      <c r="L67" s="252"/>
      <c r="M67" s="252">
        <v>4593</v>
      </c>
      <c r="N67" s="252"/>
      <c r="O67" s="252">
        <v>12876</v>
      </c>
      <c r="P67" s="252"/>
      <c r="Q67" s="252"/>
      <c r="R67" s="252">
        <v>10673</v>
      </c>
      <c r="S67" s="252">
        <v>2051</v>
      </c>
      <c r="T67" s="252"/>
      <c r="U67" s="252">
        <v>16970</v>
      </c>
      <c r="V67" s="252">
        <v>2924</v>
      </c>
      <c r="W67" s="252"/>
      <c r="X67" s="252"/>
      <c r="Y67" s="252"/>
      <c r="Z67" s="252"/>
      <c r="AA67" s="252">
        <v>19957</v>
      </c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</row>
    <row r="68" spans="1:50" s="4" customFormat="1" ht="19.5" thickBot="1" x14ac:dyDescent="0.35">
      <c r="A68" s="152" t="s">
        <v>63</v>
      </c>
      <c r="B68" s="155" t="s">
        <v>241</v>
      </c>
      <c r="C68" s="238">
        <v>10304</v>
      </c>
      <c r="D68" s="145"/>
      <c r="E68" s="233">
        <v>10304</v>
      </c>
      <c r="F68" s="198">
        <f t="shared" si="0"/>
        <v>10304</v>
      </c>
      <c r="G68" s="260">
        <f t="shared" si="1"/>
        <v>0</v>
      </c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>
        <v>10304</v>
      </c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</row>
    <row r="69" spans="1:50" s="4" customFormat="1" ht="19.5" thickBot="1" x14ac:dyDescent="0.35">
      <c r="A69" s="152" t="s">
        <v>64</v>
      </c>
      <c r="B69" s="155" t="s">
        <v>461</v>
      </c>
      <c r="C69" s="238">
        <v>10000</v>
      </c>
      <c r="D69" s="145"/>
      <c r="E69" s="233">
        <v>10000</v>
      </c>
      <c r="F69" s="198">
        <f t="shared" si="0"/>
        <v>10000</v>
      </c>
      <c r="G69" s="260">
        <f t="shared" si="1"/>
        <v>0</v>
      </c>
      <c r="H69" s="252"/>
      <c r="I69" s="252"/>
      <c r="J69" s="252"/>
      <c r="K69" s="252"/>
      <c r="L69" s="252"/>
      <c r="M69" s="252"/>
      <c r="N69" s="252"/>
      <c r="O69" s="252">
        <v>143</v>
      </c>
      <c r="P69" s="252"/>
      <c r="Q69" s="252"/>
      <c r="R69" s="252"/>
      <c r="S69" s="252"/>
      <c r="T69" s="252">
        <v>3299</v>
      </c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>
        <v>1679.41</v>
      </c>
      <c r="AF69" s="252"/>
      <c r="AG69" s="252"/>
      <c r="AH69" s="252"/>
      <c r="AI69" s="252"/>
      <c r="AJ69" s="252"/>
      <c r="AK69" s="252"/>
      <c r="AL69" s="252">
        <v>4878.59</v>
      </c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</row>
    <row r="70" spans="1:50" s="4" customFormat="1" ht="19.5" thickBot="1" x14ac:dyDescent="0.35">
      <c r="A70" s="152" t="s">
        <v>65</v>
      </c>
      <c r="B70" s="155" t="s">
        <v>243</v>
      </c>
      <c r="C70" s="238">
        <v>10000</v>
      </c>
      <c r="D70" s="145"/>
      <c r="E70" s="233">
        <v>10000</v>
      </c>
      <c r="F70" s="198">
        <f t="shared" si="0"/>
        <v>10000</v>
      </c>
      <c r="G70" s="260">
        <f t="shared" si="1"/>
        <v>0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>
        <v>10000</v>
      </c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</row>
    <row r="71" spans="1:50" s="4" customFormat="1" ht="19.5" thickBot="1" x14ac:dyDescent="0.35">
      <c r="A71" s="152" t="s">
        <v>66</v>
      </c>
      <c r="B71" s="155" t="s">
        <v>244</v>
      </c>
      <c r="C71" s="238">
        <v>16551</v>
      </c>
      <c r="D71" s="145"/>
      <c r="E71" s="233">
        <v>16551</v>
      </c>
      <c r="F71" s="198">
        <f t="shared" si="0"/>
        <v>16551</v>
      </c>
      <c r="G71" s="260">
        <f t="shared" si="1"/>
        <v>0</v>
      </c>
      <c r="H71" s="252"/>
      <c r="I71" s="252"/>
      <c r="J71" s="252"/>
      <c r="K71" s="252"/>
      <c r="L71" s="252"/>
      <c r="M71" s="252"/>
      <c r="N71" s="252">
        <v>6208</v>
      </c>
      <c r="O71" s="252"/>
      <c r="P71" s="252"/>
      <c r="Q71" s="252"/>
      <c r="R71" s="252"/>
      <c r="S71" s="252"/>
      <c r="T71" s="252">
        <v>2626.94</v>
      </c>
      <c r="U71" s="252"/>
      <c r="V71" s="252"/>
      <c r="W71" s="252"/>
      <c r="X71" s="252"/>
      <c r="Y71" s="252"/>
      <c r="Z71" s="252"/>
      <c r="AA71" s="252">
        <v>7716.06</v>
      </c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</row>
    <row r="72" spans="1:50" s="4" customFormat="1" ht="19.5" thickBot="1" x14ac:dyDescent="0.35">
      <c r="A72" s="152" t="s">
        <v>67</v>
      </c>
      <c r="B72" s="155" t="s">
        <v>245</v>
      </c>
      <c r="C72" s="238">
        <v>87995</v>
      </c>
      <c r="D72" s="145"/>
      <c r="E72" s="233">
        <v>87995</v>
      </c>
      <c r="F72" s="198">
        <f t="shared" si="0"/>
        <v>87995</v>
      </c>
      <c r="G72" s="260">
        <f t="shared" si="1"/>
        <v>0</v>
      </c>
      <c r="H72" s="252"/>
      <c r="I72" s="252"/>
      <c r="J72" s="252"/>
      <c r="K72" s="252"/>
      <c r="L72" s="252"/>
      <c r="M72" s="252"/>
      <c r="N72" s="252">
        <v>20835</v>
      </c>
      <c r="O72" s="252">
        <v>35152</v>
      </c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>
        <v>17816</v>
      </c>
      <c r="AA72" s="252"/>
      <c r="AB72" s="252"/>
      <c r="AC72" s="252">
        <v>14192</v>
      </c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</row>
    <row r="73" spans="1:50" s="4" customFormat="1" ht="19.5" thickBot="1" x14ac:dyDescent="0.35">
      <c r="A73" s="152" t="s">
        <v>68</v>
      </c>
      <c r="B73" s="155" t="s">
        <v>462</v>
      </c>
      <c r="C73" s="238">
        <v>10000</v>
      </c>
      <c r="D73" s="145"/>
      <c r="E73" s="233">
        <v>10000</v>
      </c>
      <c r="F73" s="198">
        <f t="shared" si="0"/>
        <v>10000</v>
      </c>
      <c r="G73" s="260">
        <f t="shared" si="1"/>
        <v>0</v>
      </c>
      <c r="H73" s="252"/>
      <c r="I73" s="252"/>
      <c r="J73" s="252"/>
      <c r="K73" s="252"/>
      <c r="L73" s="252"/>
      <c r="M73" s="252"/>
      <c r="N73" s="252">
        <v>10000</v>
      </c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</row>
    <row r="74" spans="1:50" s="4" customFormat="1" ht="19.5" thickBot="1" x14ac:dyDescent="0.35">
      <c r="A74" s="152" t="s">
        <v>69</v>
      </c>
      <c r="B74" s="155" t="s">
        <v>623</v>
      </c>
      <c r="C74" s="238">
        <v>10000</v>
      </c>
      <c r="D74" s="145"/>
      <c r="E74" s="233">
        <v>10000</v>
      </c>
      <c r="F74" s="198">
        <f t="shared" si="0"/>
        <v>10000</v>
      </c>
      <c r="G74" s="260">
        <f t="shared" si="1"/>
        <v>0</v>
      </c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>
        <v>10000</v>
      </c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</row>
    <row r="75" spans="1:50" s="4" customFormat="1" ht="19.5" thickBot="1" x14ac:dyDescent="0.35">
      <c r="A75" s="152" t="s">
        <v>70</v>
      </c>
      <c r="B75" s="155" t="s">
        <v>464</v>
      </c>
      <c r="C75" s="238">
        <v>62312</v>
      </c>
      <c r="D75" s="145"/>
      <c r="E75" s="233">
        <v>62312</v>
      </c>
      <c r="F75" s="198">
        <f t="shared" si="0"/>
        <v>62312</v>
      </c>
      <c r="G75" s="260">
        <f t="shared" si="1"/>
        <v>0</v>
      </c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>
        <v>46734</v>
      </c>
      <c r="T75" s="252"/>
      <c r="U75" s="252">
        <v>14982</v>
      </c>
      <c r="V75" s="252"/>
      <c r="W75" s="252"/>
      <c r="X75" s="252"/>
      <c r="Y75" s="252"/>
      <c r="Z75" s="252"/>
      <c r="AA75" s="252"/>
      <c r="AB75" s="252">
        <v>596</v>
      </c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</row>
    <row r="76" spans="1:50" s="4" customFormat="1" ht="19.5" thickBot="1" x14ac:dyDescent="0.35">
      <c r="A76" s="152" t="s">
        <v>71</v>
      </c>
      <c r="B76" s="155" t="s">
        <v>466</v>
      </c>
      <c r="C76" s="238">
        <v>26852</v>
      </c>
      <c r="D76" s="145"/>
      <c r="E76" s="233">
        <v>26852</v>
      </c>
      <c r="F76" s="198">
        <f t="shared" si="0"/>
        <v>26852</v>
      </c>
      <c r="G76" s="260">
        <f t="shared" si="1"/>
        <v>0</v>
      </c>
      <c r="H76" s="252"/>
      <c r="I76" s="252"/>
      <c r="J76" s="252"/>
      <c r="K76" s="252"/>
      <c r="L76" s="252"/>
      <c r="M76" s="252"/>
      <c r="N76" s="252"/>
      <c r="O76" s="252"/>
      <c r="P76" s="252">
        <v>2657</v>
      </c>
      <c r="Q76" s="252"/>
      <c r="R76" s="252"/>
      <c r="S76" s="252">
        <f>3300+11780</f>
        <v>15080</v>
      </c>
      <c r="T76" s="252">
        <v>7594</v>
      </c>
      <c r="U76" s="252"/>
      <c r="V76" s="252"/>
      <c r="W76" s="252"/>
      <c r="X76" s="252"/>
      <c r="Y76" s="252"/>
      <c r="Z76" s="252"/>
      <c r="AA76" s="252">
        <v>1521</v>
      </c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</row>
    <row r="77" spans="1:50" s="4" customFormat="1" ht="19.5" thickBot="1" x14ac:dyDescent="0.35">
      <c r="A77" s="152" t="s">
        <v>72</v>
      </c>
      <c r="B77" s="155" t="s">
        <v>467</v>
      </c>
      <c r="C77" s="238">
        <v>10000</v>
      </c>
      <c r="D77" s="145"/>
      <c r="E77" s="233">
        <v>10000</v>
      </c>
      <c r="F77" s="198">
        <f t="shared" ref="F77:F140" si="2">SUM(H77:AV77)</f>
        <v>10000</v>
      </c>
      <c r="G77" s="260">
        <f t="shared" ref="G77:G140" si="3">E77-(F77+AW77+AX77)</f>
        <v>0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>
        <v>10000</v>
      </c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</row>
    <row r="78" spans="1:50" s="4" customFormat="1" ht="19.5" thickBot="1" x14ac:dyDescent="0.35">
      <c r="A78" s="152" t="s">
        <v>73</v>
      </c>
      <c r="B78" s="155" t="s">
        <v>468</v>
      </c>
      <c r="C78" s="238">
        <v>35219</v>
      </c>
      <c r="D78" s="145"/>
      <c r="E78" s="233">
        <v>35219</v>
      </c>
      <c r="F78" s="198">
        <f t="shared" si="2"/>
        <v>35219</v>
      </c>
      <c r="G78" s="260">
        <f t="shared" si="3"/>
        <v>0</v>
      </c>
      <c r="H78" s="252"/>
      <c r="I78" s="252"/>
      <c r="J78" s="252"/>
      <c r="K78" s="252"/>
      <c r="L78" s="252"/>
      <c r="M78" s="252"/>
      <c r="N78" s="252"/>
      <c r="O78" s="252">
        <v>35219</v>
      </c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</row>
    <row r="79" spans="1:50" s="4" customFormat="1" ht="19.5" thickBot="1" x14ac:dyDescent="0.35">
      <c r="A79" s="152" t="s">
        <v>74</v>
      </c>
      <c r="B79" s="155" t="s">
        <v>470</v>
      </c>
      <c r="C79" s="238">
        <v>40988</v>
      </c>
      <c r="D79" s="145"/>
      <c r="E79" s="233">
        <v>40988</v>
      </c>
      <c r="F79" s="198">
        <f t="shared" si="2"/>
        <v>40988</v>
      </c>
      <c r="G79" s="260">
        <f t="shared" si="3"/>
        <v>0</v>
      </c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>
        <v>22649</v>
      </c>
      <c r="S79" s="252">
        <v>8000</v>
      </c>
      <c r="T79" s="252"/>
      <c r="U79" s="252"/>
      <c r="V79" s="252"/>
      <c r="W79" s="252">
        <v>8087</v>
      </c>
      <c r="X79" s="252"/>
      <c r="Y79" s="252"/>
      <c r="Z79" s="252"/>
      <c r="AA79" s="252"/>
      <c r="AB79" s="252"/>
      <c r="AC79" s="252"/>
      <c r="AD79" s="252"/>
      <c r="AE79" s="252">
        <v>2252</v>
      </c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</row>
    <row r="80" spans="1:50" s="4" customFormat="1" ht="19.5" thickBot="1" x14ac:dyDescent="0.35">
      <c r="A80" s="152" t="s">
        <v>75</v>
      </c>
      <c r="B80" s="155" t="s">
        <v>253</v>
      </c>
      <c r="C80" s="238">
        <v>13663</v>
      </c>
      <c r="D80" s="145"/>
      <c r="E80" s="233">
        <v>13663</v>
      </c>
      <c r="F80" s="198">
        <f t="shared" si="2"/>
        <v>13663</v>
      </c>
      <c r="G80" s="260">
        <f t="shared" si="3"/>
        <v>0</v>
      </c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>
        <v>13663</v>
      </c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</row>
    <row r="81" spans="1:50" s="4" customFormat="1" ht="19.5" thickBot="1" x14ac:dyDescent="0.35">
      <c r="A81" s="152" t="s">
        <v>76</v>
      </c>
      <c r="B81" s="155" t="s">
        <v>471</v>
      </c>
      <c r="C81" s="238">
        <v>10000</v>
      </c>
      <c r="D81" s="145"/>
      <c r="E81" s="233">
        <v>10000</v>
      </c>
      <c r="F81" s="198">
        <f t="shared" si="2"/>
        <v>10000</v>
      </c>
      <c r="G81" s="260">
        <f t="shared" si="3"/>
        <v>0</v>
      </c>
      <c r="H81" s="252"/>
      <c r="I81" s="252"/>
      <c r="J81" s="252"/>
      <c r="K81" s="252"/>
      <c r="L81" s="252"/>
      <c r="M81" s="252"/>
      <c r="N81" s="252"/>
      <c r="O81" s="252">
        <v>340</v>
      </c>
      <c r="P81" s="252"/>
      <c r="Q81" s="252"/>
      <c r="R81" s="252"/>
      <c r="S81" s="252"/>
      <c r="T81" s="252">
        <v>5850</v>
      </c>
      <c r="U81" s="252"/>
      <c r="V81" s="252"/>
      <c r="W81" s="252"/>
      <c r="X81" s="252"/>
      <c r="Y81" s="252"/>
      <c r="Z81" s="252"/>
      <c r="AA81" s="252"/>
      <c r="AB81" s="252">
        <v>2033</v>
      </c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>
        <v>1777</v>
      </c>
      <c r="AR81" s="252"/>
      <c r="AS81" s="252"/>
      <c r="AT81" s="252"/>
      <c r="AU81" s="252"/>
      <c r="AV81" s="252"/>
      <c r="AW81" s="252"/>
      <c r="AX81" s="252"/>
    </row>
    <row r="82" spans="1:50" s="4" customFormat="1" ht="19.5" thickBot="1" x14ac:dyDescent="0.35">
      <c r="A82" s="152" t="s">
        <v>77</v>
      </c>
      <c r="B82" s="155" t="s">
        <v>473</v>
      </c>
      <c r="C82" s="238">
        <v>10000</v>
      </c>
      <c r="D82" s="145"/>
      <c r="E82" s="233">
        <v>10000</v>
      </c>
      <c r="F82" s="198">
        <f t="shared" si="2"/>
        <v>10000</v>
      </c>
      <c r="G82" s="260">
        <f t="shared" si="3"/>
        <v>0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>
        <v>10000</v>
      </c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</row>
    <row r="83" spans="1:50" s="4" customFormat="1" ht="19.5" thickBot="1" x14ac:dyDescent="0.35">
      <c r="A83" s="152" t="s">
        <v>78</v>
      </c>
      <c r="B83" s="155" t="s">
        <v>256</v>
      </c>
      <c r="C83" s="238">
        <v>10380</v>
      </c>
      <c r="D83" s="145"/>
      <c r="E83" s="233">
        <v>10380</v>
      </c>
      <c r="F83" s="198">
        <f t="shared" si="2"/>
        <v>10380</v>
      </c>
      <c r="G83" s="260">
        <f t="shared" si="3"/>
        <v>0</v>
      </c>
      <c r="H83" s="252"/>
      <c r="I83" s="252"/>
      <c r="J83" s="252"/>
      <c r="K83" s="252"/>
      <c r="L83" s="252"/>
      <c r="M83" s="252"/>
      <c r="N83" s="252">
        <v>1122</v>
      </c>
      <c r="O83" s="252"/>
      <c r="P83" s="252">
        <v>2204</v>
      </c>
      <c r="Q83" s="252"/>
      <c r="R83" s="252"/>
      <c r="S83" s="252">
        <v>7054</v>
      </c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</row>
    <row r="84" spans="1:50" s="4" customFormat="1" ht="19.5" thickBot="1" x14ac:dyDescent="0.35">
      <c r="A84" s="152" t="s">
        <v>79</v>
      </c>
      <c r="B84" s="155" t="s">
        <v>257</v>
      </c>
      <c r="C84" s="238">
        <v>17157</v>
      </c>
      <c r="D84" s="145"/>
      <c r="E84" s="233">
        <v>17157</v>
      </c>
      <c r="F84" s="198">
        <f t="shared" si="2"/>
        <v>17157</v>
      </c>
      <c r="G84" s="260">
        <f t="shared" si="3"/>
        <v>0</v>
      </c>
      <c r="H84" s="252"/>
      <c r="I84" s="252"/>
      <c r="J84" s="252"/>
      <c r="K84" s="252"/>
      <c r="L84" s="252"/>
      <c r="M84" s="252"/>
      <c r="N84" s="283"/>
      <c r="O84" s="252"/>
      <c r="P84" s="252"/>
      <c r="Q84" s="252"/>
      <c r="R84" s="252">
        <v>17154</v>
      </c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>
        <v>3</v>
      </c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</row>
    <row r="85" spans="1:50" s="4" customFormat="1" ht="19.5" thickBot="1" x14ac:dyDescent="0.35">
      <c r="A85" s="152" t="s">
        <v>80</v>
      </c>
      <c r="B85" s="155" t="s">
        <v>258</v>
      </c>
      <c r="C85" s="238">
        <v>10000</v>
      </c>
      <c r="D85" s="145"/>
      <c r="E85" s="233">
        <v>10000</v>
      </c>
      <c r="F85" s="198">
        <f t="shared" si="2"/>
        <v>10000</v>
      </c>
      <c r="G85" s="260">
        <f t="shared" si="3"/>
        <v>0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>
        <v>10000</v>
      </c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</row>
    <row r="86" spans="1:50" s="4" customFormat="1" ht="19.5" thickBot="1" x14ac:dyDescent="0.35">
      <c r="A86" s="152" t="s">
        <v>81</v>
      </c>
      <c r="B86" s="155" t="s">
        <v>479</v>
      </c>
      <c r="C86" s="238">
        <v>18505</v>
      </c>
      <c r="D86" s="145"/>
      <c r="E86" s="233">
        <v>18505</v>
      </c>
      <c r="F86" s="198">
        <f t="shared" si="2"/>
        <v>18505</v>
      </c>
      <c r="G86" s="260">
        <f t="shared" si="3"/>
        <v>0</v>
      </c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83"/>
      <c r="S86" s="252"/>
      <c r="T86" s="252">
        <v>262.38</v>
      </c>
      <c r="U86" s="252">
        <v>1324.52</v>
      </c>
      <c r="V86" s="252"/>
      <c r="W86" s="252"/>
      <c r="X86" s="252"/>
      <c r="Y86" s="252">
        <v>609.28</v>
      </c>
      <c r="Z86" s="252"/>
      <c r="AA86" s="252">
        <v>5142.68</v>
      </c>
      <c r="AB86" s="252"/>
      <c r="AC86" s="252"/>
      <c r="AD86" s="252">
        <v>1000</v>
      </c>
      <c r="AE86" s="252">
        <v>5136.47</v>
      </c>
      <c r="AF86" s="252"/>
      <c r="AG86" s="252"/>
      <c r="AH86" s="252"/>
      <c r="AI86" s="252"/>
      <c r="AJ86" s="252">
        <v>174.65</v>
      </c>
      <c r="AK86" s="252"/>
      <c r="AL86" s="252"/>
      <c r="AM86" s="252">
        <v>3016.52</v>
      </c>
      <c r="AN86" s="252">
        <v>1838.5</v>
      </c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</row>
    <row r="87" spans="1:50" s="4" customFormat="1" ht="19.5" thickBot="1" x14ac:dyDescent="0.35">
      <c r="A87" s="152" t="s">
        <v>82</v>
      </c>
      <c r="B87" s="155" t="s">
        <v>481</v>
      </c>
      <c r="C87" s="238">
        <v>10000</v>
      </c>
      <c r="D87" s="145"/>
      <c r="E87" s="233">
        <v>10000</v>
      </c>
      <c r="F87" s="198">
        <f t="shared" si="2"/>
        <v>10000</v>
      </c>
      <c r="G87" s="260">
        <f t="shared" si="3"/>
        <v>0</v>
      </c>
      <c r="H87" s="252"/>
      <c r="I87" s="252"/>
      <c r="J87" s="252"/>
      <c r="K87" s="252"/>
      <c r="L87" s="252"/>
      <c r="M87" s="252">
        <v>2460</v>
      </c>
      <c r="N87" s="252">
        <v>2553</v>
      </c>
      <c r="O87" s="252">
        <v>851</v>
      </c>
      <c r="P87" s="252">
        <v>851</v>
      </c>
      <c r="Q87" s="252">
        <v>851</v>
      </c>
      <c r="R87" s="252">
        <v>851</v>
      </c>
      <c r="S87" s="252">
        <v>853</v>
      </c>
      <c r="T87" s="252">
        <v>730</v>
      </c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</row>
    <row r="88" spans="1:50" s="4" customFormat="1" ht="19.5" thickBot="1" x14ac:dyDescent="0.35">
      <c r="A88" s="152" t="s">
        <v>83</v>
      </c>
      <c r="B88" s="155" t="s">
        <v>261</v>
      </c>
      <c r="C88" s="238">
        <v>10000</v>
      </c>
      <c r="D88" s="145"/>
      <c r="E88" s="233">
        <v>10000</v>
      </c>
      <c r="F88" s="198">
        <f t="shared" si="2"/>
        <v>10000</v>
      </c>
      <c r="G88" s="260">
        <f t="shared" si="3"/>
        <v>0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83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>
        <v>10000</v>
      </c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</row>
    <row r="89" spans="1:50" s="4" customFormat="1" ht="19.5" thickBot="1" x14ac:dyDescent="0.35">
      <c r="A89" s="152" t="s">
        <v>84</v>
      </c>
      <c r="B89" s="155" t="s">
        <v>262</v>
      </c>
      <c r="C89" s="238">
        <v>646874</v>
      </c>
      <c r="D89" s="145"/>
      <c r="E89" s="233">
        <v>646874</v>
      </c>
      <c r="F89" s="198">
        <f t="shared" si="2"/>
        <v>646874</v>
      </c>
      <c r="G89" s="260">
        <f t="shared" si="3"/>
        <v>0</v>
      </c>
      <c r="H89" s="252"/>
      <c r="I89" s="252"/>
      <c r="J89" s="252"/>
      <c r="K89" s="252"/>
      <c r="L89" s="252"/>
      <c r="M89" s="252"/>
      <c r="N89" s="252"/>
      <c r="O89" s="252">
        <v>185264</v>
      </c>
      <c r="P89" s="252"/>
      <c r="Q89" s="252">
        <v>215</v>
      </c>
      <c r="R89" s="252">
        <v>95223</v>
      </c>
      <c r="S89" s="252">
        <v>166289</v>
      </c>
      <c r="T89" s="252">
        <v>20890</v>
      </c>
      <c r="U89" s="252"/>
      <c r="V89" s="252">
        <v>32624.2</v>
      </c>
      <c r="W89" s="252"/>
      <c r="X89" s="252"/>
      <c r="Y89" s="252">
        <v>146368.79999999999</v>
      </c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</row>
    <row r="90" spans="1:50" s="4" customFormat="1" ht="19.5" thickBot="1" x14ac:dyDescent="0.35">
      <c r="A90" s="152" t="s">
        <v>85</v>
      </c>
      <c r="B90" s="155" t="s">
        <v>484</v>
      </c>
      <c r="C90" s="238">
        <v>10000</v>
      </c>
      <c r="D90" s="145"/>
      <c r="E90" s="233">
        <v>10000</v>
      </c>
      <c r="F90" s="198">
        <f t="shared" si="2"/>
        <v>10000</v>
      </c>
      <c r="G90" s="260">
        <f t="shared" si="3"/>
        <v>0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>
        <v>10000</v>
      </c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</row>
    <row r="91" spans="1:50" s="4" customFormat="1" ht="19.5" thickBot="1" x14ac:dyDescent="0.35">
      <c r="A91" s="152" t="s">
        <v>86</v>
      </c>
      <c r="B91" s="155" t="s">
        <v>486</v>
      </c>
      <c r="C91" s="238">
        <v>10000</v>
      </c>
      <c r="D91" s="145"/>
      <c r="E91" s="233">
        <v>10000</v>
      </c>
      <c r="F91" s="198">
        <f t="shared" si="2"/>
        <v>10000</v>
      </c>
      <c r="G91" s="260">
        <f t="shared" si="3"/>
        <v>0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>
        <v>7900</v>
      </c>
      <c r="AA91" s="252"/>
      <c r="AB91" s="252"/>
      <c r="AC91" s="252"/>
      <c r="AD91" s="252"/>
      <c r="AE91" s="252">
        <v>2100</v>
      </c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</row>
    <row r="92" spans="1:50" s="4" customFormat="1" ht="19.5" thickBot="1" x14ac:dyDescent="0.35">
      <c r="A92" s="152" t="s">
        <v>87</v>
      </c>
      <c r="B92" s="155" t="s">
        <v>265</v>
      </c>
      <c r="C92" s="238">
        <v>10000</v>
      </c>
      <c r="D92" s="145">
        <v>9025</v>
      </c>
      <c r="E92" s="233">
        <v>0</v>
      </c>
      <c r="F92" s="198">
        <f t="shared" si="2"/>
        <v>0</v>
      </c>
      <c r="G92" s="260">
        <f t="shared" si="3"/>
        <v>0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</row>
    <row r="93" spans="1:50" s="4" customFormat="1" ht="19.5" thickBot="1" x14ac:dyDescent="0.35">
      <c r="A93" s="152" t="s">
        <v>88</v>
      </c>
      <c r="B93" s="155" t="s">
        <v>266</v>
      </c>
      <c r="C93" s="238">
        <v>10000</v>
      </c>
      <c r="D93" s="145">
        <v>9025</v>
      </c>
      <c r="E93" s="233">
        <v>0</v>
      </c>
      <c r="F93" s="198">
        <f t="shared" si="2"/>
        <v>0</v>
      </c>
      <c r="G93" s="260">
        <f t="shared" si="3"/>
        <v>0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</row>
    <row r="94" spans="1:50" s="4" customFormat="1" ht="19.5" thickBot="1" x14ac:dyDescent="0.35">
      <c r="A94" s="152" t="s">
        <v>89</v>
      </c>
      <c r="B94" s="155" t="s">
        <v>267</v>
      </c>
      <c r="C94" s="238">
        <v>10000</v>
      </c>
      <c r="D94" s="145">
        <v>9025</v>
      </c>
      <c r="E94" s="233">
        <v>0</v>
      </c>
      <c r="F94" s="198">
        <f t="shared" si="2"/>
        <v>0</v>
      </c>
      <c r="G94" s="260">
        <f t="shared" si="3"/>
        <v>0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</row>
    <row r="95" spans="1:50" s="4" customFormat="1" ht="19.5" thickBot="1" x14ac:dyDescent="0.35">
      <c r="A95" s="152" t="s">
        <v>90</v>
      </c>
      <c r="B95" s="155" t="s">
        <v>268</v>
      </c>
      <c r="C95" s="238">
        <v>10000</v>
      </c>
      <c r="D95" s="145">
        <v>9025</v>
      </c>
      <c r="E95" s="233">
        <v>0</v>
      </c>
      <c r="F95" s="198">
        <f t="shared" si="2"/>
        <v>0</v>
      </c>
      <c r="G95" s="260">
        <f t="shared" si="3"/>
        <v>0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</row>
    <row r="96" spans="1:50" s="4" customFormat="1" ht="19.5" thickBot="1" x14ac:dyDescent="0.35">
      <c r="A96" s="152" t="s">
        <v>91</v>
      </c>
      <c r="B96" s="155" t="s">
        <v>488</v>
      </c>
      <c r="C96" s="238">
        <v>10000</v>
      </c>
      <c r="D96" s="145">
        <v>9025</v>
      </c>
      <c r="E96" s="233">
        <v>0</v>
      </c>
      <c r="F96" s="198">
        <f t="shared" si="2"/>
        <v>0</v>
      </c>
      <c r="G96" s="260">
        <f t="shared" si="3"/>
        <v>0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</row>
    <row r="97" spans="1:50" s="4" customFormat="1" ht="19.5" thickBot="1" x14ac:dyDescent="0.35">
      <c r="A97" s="152" t="s">
        <v>92</v>
      </c>
      <c r="B97" s="155" t="s">
        <v>270</v>
      </c>
      <c r="C97" s="238">
        <v>18527</v>
      </c>
      <c r="D97" s="145"/>
      <c r="E97" s="233">
        <v>18527</v>
      </c>
      <c r="F97" s="198">
        <f t="shared" si="2"/>
        <v>18527</v>
      </c>
      <c r="G97" s="260">
        <f t="shared" si="3"/>
        <v>0</v>
      </c>
      <c r="H97" s="252"/>
      <c r="I97" s="252"/>
      <c r="J97" s="252"/>
      <c r="K97" s="252"/>
      <c r="L97" s="252"/>
      <c r="M97" s="252">
        <v>2088</v>
      </c>
      <c r="N97" s="252"/>
      <c r="O97" s="252">
        <v>1044</v>
      </c>
      <c r="P97" s="252"/>
      <c r="Q97" s="252"/>
      <c r="R97" s="252"/>
      <c r="S97" s="252">
        <v>15395</v>
      </c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</row>
    <row r="98" spans="1:50" s="4" customFormat="1" ht="19.5" thickBot="1" x14ac:dyDescent="0.35">
      <c r="A98" s="152" t="s">
        <v>93</v>
      </c>
      <c r="B98" s="155" t="s">
        <v>271</v>
      </c>
      <c r="C98" s="238">
        <v>32404</v>
      </c>
      <c r="D98" s="145"/>
      <c r="E98" s="233">
        <v>32404</v>
      </c>
      <c r="F98" s="198">
        <f t="shared" si="2"/>
        <v>32404</v>
      </c>
      <c r="G98" s="260">
        <f t="shared" si="3"/>
        <v>0</v>
      </c>
      <c r="H98" s="252"/>
      <c r="I98" s="252"/>
      <c r="J98" s="252"/>
      <c r="K98" s="252"/>
      <c r="L98" s="252"/>
      <c r="M98" s="252"/>
      <c r="N98" s="252"/>
      <c r="O98" s="252">
        <v>3387</v>
      </c>
      <c r="P98" s="252"/>
      <c r="Q98" s="252">
        <v>4946</v>
      </c>
      <c r="R98" s="252">
        <v>61</v>
      </c>
      <c r="S98" s="252">
        <v>12087</v>
      </c>
      <c r="T98" s="252">
        <v>2237</v>
      </c>
      <c r="U98" s="252">
        <v>7978</v>
      </c>
      <c r="V98" s="252"/>
      <c r="W98" s="252">
        <v>794.97</v>
      </c>
      <c r="X98" s="252"/>
      <c r="Y98" s="252"/>
      <c r="Z98" s="252"/>
      <c r="AA98" s="252"/>
      <c r="AB98" s="252"/>
      <c r="AC98" s="252"/>
      <c r="AD98" s="252"/>
      <c r="AE98" s="252"/>
      <c r="AF98" s="252"/>
      <c r="AG98" s="252">
        <v>913.03</v>
      </c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</row>
    <row r="99" spans="1:50" s="4" customFormat="1" ht="19.5" thickBot="1" x14ac:dyDescent="0.35">
      <c r="A99" s="152" t="s">
        <v>94</v>
      </c>
      <c r="B99" s="155" t="s">
        <v>272</v>
      </c>
      <c r="C99" s="238">
        <v>10000</v>
      </c>
      <c r="D99" s="145"/>
      <c r="E99" s="233">
        <v>10000</v>
      </c>
      <c r="F99" s="198">
        <f t="shared" si="2"/>
        <v>10000</v>
      </c>
      <c r="G99" s="260">
        <f t="shared" si="3"/>
        <v>0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>
        <v>713</v>
      </c>
      <c r="T99" s="252"/>
      <c r="U99" s="252"/>
      <c r="V99" s="252"/>
      <c r="W99" s="252"/>
      <c r="X99" s="252"/>
      <c r="Y99" s="252"/>
      <c r="Z99" s="252"/>
      <c r="AA99" s="252"/>
      <c r="AB99" s="252">
        <v>9287</v>
      </c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</row>
    <row r="100" spans="1:50" s="4" customFormat="1" ht="19.5" thickBot="1" x14ac:dyDescent="0.35">
      <c r="A100" s="152" t="s">
        <v>95</v>
      </c>
      <c r="B100" s="155" t="s">
        <v>492</v>
      </c>
      <c r="C100" s="238">
        <v>10263</v>
      </c>
      <c r="D100" s="145"/>
      <c r="E100" s="233">
        <v>10263</v>
      </c>
      <c r="F100" s="198">
        <f t="shared" si="2"/>
        <v>10263</v>
      </c>
      <c r="G100" s="260">
        <f t="shared" si="3"/>
        <v>0</v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>
        <v>510</v>
      </c>
      <c r="R100" s="252"/>
      <c r="S100" s="252">
        <v>5309</v>
      </c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>
        <v>3027</v>
      </c>
      <c r="AD100" s="252"/>
      <c r="AE100" s="252"/>
      <c r="AF100" s="252">
        <v>1417</v>
      </c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</row>
    <row r="101" spans="1:50" s="4" customFormat="1" ht="19.5" thickBot="1" x14ac:dyDescent="0.35">
      <c r="A101" s="152" t="s">
        <v>96</v>
      </c>
      <c r="B101" s="155" t="s">
        <v>274</v>
      </c>
      <c r="C101" s="238">
        <v>182520</v>
      </c>
      <c r="D101" s="145"/>
      <c r="E101" s="233">
        <v>182520</v>
      </c>
      <c r="F101" s="198">
        <f t="shared" si="2"/>
        <v>182520</v>
      </c>
      <c r="G101" s="260">
        <f t="shared" si="3"/>
        <v>0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>
        <v>28436</v>
      </c>
      <c r="S101" s="252">
        <v>31574</v>
      </c>
      <c r="T101" s="252"/>
      <c r="U101" s="252">
        <v>22523</v>
      </c>
      <c r="V101" s="252"/>
      <c r="W101" s="252"/>
      <c r="X101" s="252">
        <v>12428</v>
      </c>
      <c r="Y101" s="252">
        <v>24526.85</v>
      </c>
      <c r="Z101" s="252"/>
      <c r="AA101" s="252">
        <v>11034.2</v>
      </c>
      <c r="AB101" s="252"/>
      <c r="AC101" s="252"/>
      <c r="AD101" s="252">
        <v>23819.27</v>
      </c>
      <c r="AE101" s="252">
        <v>14112.68</v>
      </c>
      <c r="AF101" s="252"/>
      <c r="AG101" s="252">
        <v>859.52</v>
      </c>
      <c r="AH101" s="252"/>
      <c r="AI101" s="252"/>
      <c r="AJ101" s="252">
        <f>7536.48+5670</f>
        <v>13206.48</v>
      </c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</row>
    <row r="102" spans="1:50" s="4" customFormat="1" ht="19.5" thickBot="1" x14ac:dyDescent="0.35">
      <c r="A102" s="152" t="s">
        <v>97</v>
      </c>
      <c r="B102" s="155" t="s">
        <v>494</v>
      </c>
      <c r="C102" s="238">
        <v>109310</v>
      </c>
      <c r="D102" s="145"/>
      <c r="E102" s="233">
        <v>109310</v>
      </c>
      <c r="F102" s="198">
        <f t="shared" si="2"/>
        <v>109310.00000000001</v>
      </c>
      <c r="G102" s="260">
        <f t="shared" si="3"/>
        <v>0</v>
      </c>
      <c r="H102" s="252"/>
      <c r="I102" s="252"/>
      <c r="J102" s="252"/>
      <c r="K102" s="252"/>
      <c r="L102" s="252"/>
      <c r="M102" s="252"/>
      <c r="N102" s="252"/>
      <c r="O102" s="252"/>
      <c r="P102" s="252">
        <v>4112</v>
      </c>
      <c r="Q102" s="252">
        <f>4308+7478</f>
        <v>11786</v>
      </c>
      <c r="R102" s="252">
        <v>7054</v>
      </c>
      <c r="S102" s="252">
        <v>4308</v>
      </c>
      <c r="T102" s="252">
        <v>4401.79</v>
      </c>
      <c r="U102" s="252">
        <v>4316.62</v>
      </c>
      <c r="V102" s="252">
        <v>5034.5200000000004</v>
      </c>
      <c r="W102" s="252"/>
      <c r="X102" s="252">
        <v>13969.07</v>
      </c>
      <c r="Y102" s="252">
        <v>3823.29</v>
      </c>
      <c r="Z102" s="252"/>
      <c r="AA102" s="252">
        <v>2374.31</v>
      </c>
      <c r="AB102" s="252">
        <v>4203.29</v>
      </c>
      <c r="AC102" s="252">
        <v>4305.87</v>
      </c>
      <c r="AD102" s="252">
        <v>5797.69</v>
      </c>
      <c r="AE102" s="252">
        <v>2175.16</v>
      </c>
      <c r="AF102" s="252">
        <v>8027.19</v>
      </c>
      <c r="AG102" s="252"/>
      <c r="AH102" s="252"/>
      <c r="AI102" s="252"/>
      <c r="AJ102" s="252">
        <v>12767.37</v>
      </c>
      <c r="AK102" s="252"/>
      <c r="AL102" s="252">
        <v>5894.75</v>
      </c>
      <c r="AM102" s="252">
        <v>4959.08</v>
      </c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</row>
    <row r="103" spans="1:50" s="4" customFormat="1" ht="19.5" thickBot="1" x14ac:dyDescent="0.35">
      <c r="A103" s="152" t="s">
        <v>98</v>
      </c>
      <c r="B103" s="155" t="s">
        <v>495</v>
      </c>
      <c r="C103" s="238">
        <v>19279</v>
      </c>
      <c r="D103" s="145"/>
      <c r="E103" s="233">
        <v>19279</v>
      </c>
      <c r="F103" s="198">
        <f t="shared" si="2"/>
        <v>2337.02</v>
      </c>
      <c r="G103" s="260">
        <f t="shared" si="3"/>
        <v>16941.98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>
        <v>2337.02</v>
      </c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</row>
    <row r="104" spans="1:50" s="4" customFormat="1" ht="19.5" thickBot="1" x14ac:dyDescent="0.35">
      <c r="A104" s="152" t="s">
        <v>99</v>
      </c>
      <c r="B104" s="155" t="s">
        <v>277</v>
      </c>
      <c r="C104" s="238">
        <v>24530</v>
      </c>
      <c r="D104" s="145"/>
      <c r="E104" s="233">
        <v>24530</v>
      </c>
      <c r="F104" s="198">
        <f t="shared" si="2"/>
        <v>24530</v>
      </c>
      <c r="G104" s="260">
        <f t="shared" si="3"/>
        <v>0</v>
      </c>
      <c r="H104" s="252"/>
      <c r="I104" s="252"/>
      <c r="J104" s="252"/>
      <c r="K104" s="252"/>
      <c r="L104" s="252"/>
      <c r="M104" s="252">
        <v>275</v>
      </c>
      <c r="N104" s="252">
        <v>847</v>
      </c>
      <c r="O104" s="252"/>
      <c r="P104" s="252"/>
      <c r="Q104" s="252"/>
      <c r="R104" s="252"/>
      <c r="S104" s="252"/>
      <c r="T104" s="252">
        <v>1146</v>
      </c>
      <c r="U104" s="252"/>
      <c r="V104" s="252"/>
      <c r="W104" s="252"/>
      <c r="X104" s="252"/>
      <c r="Y104" s="252"/>
      <c r="Z104" s="252"/>
      <c r="AA104" s="252">
        <v>11772.45</v>
      </c>
      <c r="AB104" s="252"/>
      <c r="AC104" s="252"/>
      <c r="AD104" s="252">
        <v>10489.55</v>
      </c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</row>
    <row r="105" spans="1:50" s="4" customFormat="1" ht="19.5" thickBot="1" x14ac:dyDescent="0.35">
      <c r="A105" s="152" t="s">
        <v>100</v>
      </c>
      <c r="B105" s="155" t="s">
        <v>278</v>
      </c>
      <c r="C105" s="238">
        <v>10000</v>
      </c>
      <c r="D105" s="145"/>
      <c r="E105" s="233">
        <v>10000</v>
      </c>
      <c r="F105" s="198">
        <f t="shared" si="2"/>
        <v>10000</v>
      </c>
      <c r="G105" s="260">
        <f t="shared" si="3"/>
        <v>0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>
        <v>10000</v>
      </c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</row>
    <row r="106" spans="1:50" s="4" customFormat="1" ht="19.5" thickBot="1" x14ac:dyDescent="0.35">
      <c r="A106" s="152" t="s">
        <v>101</v>
      </c>
      <c r="B106" s="155" t="s">
        <v>279</v>
      </c>
      <c r="C106" s="238">
        <v>10000</v>
      </c>
      <c r="D106" s="145"/>
      <c r="E106" s="233">
        <v>10000</v>
      </c>
      <c r="F106" s="198">
        <f t="shared" si="2"/>
        <v>10000</v>
      </c>
      <c r="G106" s="260">
        <f t="shared" si="3"/>
        <v>0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>
        <f>6655</f>
        <v>6655</v>
      </c>
      <c r="S106" s="252">
        <v>3341</v>
      </c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>
        <v>4</v>
      </c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</row>
    <row r="107" spans="1:50" s="4" customFormat="1" ht="19.5" thickBot="1" x14ac:dyDescent="0.35">
      <c r="A107" s="152" t="s">
        <v>102</v>
      </c>
      <c r="B107" s="155" t="s">
        <v>497</v>
      </c>
      <c r="C107" s="238">
        <v>10000</v>
      </c>
      <c r="D107" s="145"/>
      <c r="E107" s="233">
        <v>10000</v>
      </c>
      <c r="F107" s="198">
        <f t="shared" si="2"/>
        <v>10000</v>
      </c>
      <c r="G107" s="260">
        <f t="shared" si="3"/>
        <v>0</v>
      </c>
      <c r="H107" s="252"/>
      <c r="I107" s="252"/>
      <c r="J107" s="252"/>
      <c r="K107" s="252"/>
      <c r="L107" s="252"/>
      <c r="M107" s="252"/>
      <c r="N107" s="252">
        <v>10000</v>
      </c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</row>
    <row r="108" spans="1:50" s="4" customFormat="1" ht="19.5" thickBot="1" x14ac:dyDescent="0.35">
      <c r="A108" s="152" t="s">
        <v>103</v>
      </c>
      <c r="B108" s="155" t="s">
        <v>281</v>
      </c>
      <c r="C108" s="238">
        <v>10000</v>
      </c>
      <c r="D108" s="145"/>
      <c r="E108" s="233">
        <v>10000</v>
      </c>
      <c r="F108" s="198">
        <f t="shared" si="2"/>
        <v>10000</v>
      </c>
      <c r="G108" s="260">
        <f t="shared" si="3"/>
        <v>0</v>
      </c>
      <c r="H108" s="252"/>
      <c r="I108" s="252"/>
      <c r="J108" s="252"/>
      <c r="K108" s="252"/>
      <c r="L108" s="252">
        <f>833+833</f>
        <v>1666</v>
      </c>
      <c r="M108" s="252"/>
      <c r="N108" s="252">
        <v>834</v>
      </c>
      <c r="O108" s="252">
        <f>833+833</f>
        <v>1666</v>
      </c>
      <c r="P108" s="252">
        <v>833</v>
      </c>
      <c r="Q108" s="252">
        <v>1667</v>
      </c>
      <c r="R108" s="252">
        <v>3153</v>
      </c>
      <c r="S108" s="252">
        <v>181</v>
      </c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</row>
    <row r="109" spans="1:50" s="4" customFormat="1" ht="19.5" thickBot="1" x14ac:dyDescent="0.35">
      <c r="A109" s="152" t="s">
        <v>104</v>
      </c>
      <c r="B109" s="155" t="s">
        <v>282</v>
      </c>
      <c r="C109" s="238">
        <v>10000</v>
      </c>
      <c r="D109" s="145"/>
      <c r="E109" s="233">
        <v>10000</v>
      </c>
      <c r="F109" s="198">
        <f t="shared" si="2"/>
        <v>10000</v>
      </c>
      <c r="G109" s="260">
        <f t="shared" si="3"/>
        <v>0</v>
      </c>
      <c r="H109" s="252"/>
      <c r="I109" s="252"/>
      <c r="J109" s="252"/>
      <c r="K109" s="252"/>
      <c r="L109" s="252"/>
      <c r="M109" s="252">
        <v>10000</v>
      </c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</row>
    <row r="110" spans="1:50" s="4" customFormat="1" ht="19.5" thickBot="1" x14ac:dyDescent="0.35">
      <c r="A110" s="152" t="s">
        <v>105</v>
      </c>
      <c r="B110" s="155" t="s">
        <v>283</v>
      </c>
      <c r="C110" s="238">
        <v>10000</v>
      </c>
      <c r="D110" s="145">
        <v>9025</v>
      </c>
      <c r="E110" s="233">
        <v>0</v>
      </c>
      <c r="F110" s="198">
        <f t="shared" si="2"/>
        <v>0</v>
      </c>
      <c r="G110" s="260">
        <f t="shared" si="3"/>
        <v>0</v>
      </c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</row>
    <row r="111" spans="1:50" s="4" customFormat="1" ht="19.5" thickBot="1" x14ac:dyDescent="0.35">
      <c r="A111" s="152" t="s">
        <v>106</v>
      </c>
      <c r="B111" s="155" t="s">
        <v>499</v>
      </c>
      <c r="C111" s="238">
        <v>10000</v>
      </c>
      <c r="D111" s="145">
        <v>9025</v>
      </c>
      <c r="E111" s="233">
        <v>0</v>
      </c>
      <c r="F111" s="198">
        <f t="shared" si="2"/>
        <v>0</v>
      </c>
      <c r="G111" s="260">
        <f t="shared" si="3"/>
        <v>0</v>
      </c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</row>
    <row r="112" spans="1:50" s="4" customFormat="1" ht="19.5" thickBot="1" x14ac:dyDescent="0.35">
      <c r="A112" s="152" t="s">
        <v>107</v>
      </c>
      <c r="B112" s="155" t="s">
        <v>500</v>
      </c>
      <c r="C112" s="238">
        <v>10000</v>
      </c>
      <c r="D112" s="145">
        <v>9025</v>
      </c>
      <c r="E112" s="233">
        <v>0</v>
      </c>
      <c r="F112" s="198">
        <f t="shared" si="2"/>
        <v>0</v>
      </c>
      <c r="G112" s="260">
        <f t="shared" si="3"/>
        <v>0</v>
      </c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</row>
    <row r="113" spans="1:50" s="4" customFormat="1" ht="19.5" thickBot="1" x14ac:dyDescent="0.35">
      <c r="A113" s="152" t="s">
        <v>108</v>
      </c>
      <c r="B113" s="155" t="s">
        <v>501</v>
      </c>
      <c r="C113" s="238">
        <v>29469</v>
      </c>
      <c r="D113" s="145">
        <v>9035</v>
      </c>
      <c r="E113" s="233">
        <v>0</v>
      </c>
      <c r="F113" s="198">
        <f t="shared" si="2"/>
        <v>0</v>
      </c>
      <c r="G113" s="260">
        <f t="shared" si="3"/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</row>
    <row r="114" spans="1:50" s="4" customFormat="1" ht="18" customHeight="1" thickBot="1" x14ac:dyDescent="0.35">
      <c r="A114" s="152" t="s">
        <v>109</v>
      </c>
      <c r="B114" s="155" t="s">
        <v>503</v>
      </c>
      <c r="C114" s="238">
        <v>10000</v>
      </c>
      <c r="D114" s="145">
        <v>9040</v>
      </c>
      <c r="E114" s="233">
        <v>0</v>
      </c>
      <c r="F114" s="198">
        <f t="shared" si="2"/>
        <v>0</v>
      </c>
      <c r="G114" s="260">
        <f t="shared" si="3"/>
        <v>0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</row>
    <row r="115" spans="1:50" s="4" customFormat="1" ht="18" customHeight="1" thickBot="1" x14ac:dyDescent="0.35">
      <c r="A115" s="152" t="s">
        <v>110</v>
      </c>
      <c r="B115" s="155" t="s">
        <v>504</v>
      </c>
      <c r="C115" s="238">
        <v>10000</v>
      </c>
      <c r="D115" s="145">
        <v>9040</v>
      </c>
      <c r="E115" s="233">
        <v>0</v>
      </c>
      <c r="F115" s="198">
        <f t="shared" si="2"/>
        <v>0</v>
      </c>
      <c r="G115" s="260">
        <f t="shared" si="3"/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</row>
    <row r="116" spans="1:50" s="4" customFormat="1" ht="18" customHeight="1" thickBot="1" x14ac:dyDescent="0.35">
      <c r="A116" s="152" t="s">
        <v>111</v>
      </c>
      <c r="B116" s="155" t="s">
        <v>505</v>
      </c>
      <c r="C116" s="238">
        <v>10000</v>
      </c>
      <c r="D116" s="145">
        <v>9040</v>
      </c>
      <c r="E116" s="233">
        <v>0</v>
      </c>
      <c r="F116" s="198">
        <f t="shared" si="2"/>
        <v>0</v>
      </c>
      <c r="G116" s="260">
        <f t="shared" si="3"/>
        <v>0</v>
      </c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</row>
    <row r="117" spans="1:50" s="4" customFormat="1" ht="18" customHeight="1" thickBot="1" x14ac:dyDescent="0.35">
      <c r="A117" s="152" t="s">
        <v>112</v>
      </c>
      <c r="B117" s="155" t="s">
        <v>506</v>
      </c>
      <c r="C117" s="238">
        <v>10000</v>
      </c>
      <c r="D117" s="145"/>
      <c r="E117" s="233">
        <v>10000</v>
      </c>
      <c r="F117" s="198">
        <f t="shared" si="2"/>
        <v>10000</v>
      </c>
      <c r="G117" s="260">
        <f t="shared" si="3"/>
        <v>0</v>
      </c>
      <c r="H117" s="252"/>
      <c r="I117" s="252"/>
      <c r="J117" s="252"/>
      <c r="K117" s="252"/>
      <c r="L117" s="252"/>
      <c r="M117" s="252"/>
      <c r="N117" s="252"/>
      <c r="O117" s="252"/>
      <c r="P117" s="252">
        <v>10000</v>
      </c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</row>
    <row r="118" spans="1:50" s="4" customFormat="1" ht="18" customHeight="1" thickBot="1" x14ac:dyDescent="0.35">
      <c r="A118" s="152" t="s">
        <v>113</v>
      </c>
      <c r="B118" s="155" t="s">
        <v>291</v>
      </c>
      <c r="C118" s="238">
        <v>10000</v>
      </c>
      <c r="D118" s="145"/>
      <c r="E118" s="233">
        <v>10000</v>
      </c>
      <c r="F118" s="198">
        <f t="shared" si="2"/>
        <v>10000</v>
      </c>
      <c r="G118" s="260">
        <f t="shared" si="3"/>
        <v>0</v>
      </c>
      <c r="H118" s="252"/>
      <c r="I118" s="252"/>
      <c r="J118" s="252"/>
      <c r="K118" s="252"/>
      <c r="L118" s="252"/>
      <c r="M118" s="252"/>
      <c r="N118" s="252"/>
      <c r="O118" s="252"/>
      <c r="P118" s="252"/>
      <c r="Q118" s="252">
        <v>10000</v>
      </c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</row>
    <row r="119" spans="1:50" s="4" customFormat="1" ht="18" customHeight="1" thickBot="1" x14ac:dyDescent="0.35">
      <c r="A119" s="152" t="s">
        <v>114</v>
      </c>
      <c r="B119" s="155" t="s">
        <v>292</v>
      </c>
      <c r="C119" s="238">
        <v>275068</v>
      </c>
      <c r="D119" s="145"/>
      <c r="E119" s="233">
        <v>275068</v>
      </c>
      <c r="F119" s="198">
        <f t="shared" si="2"/>
        <v>275068</v>
      </c>
      <c r="G119" s="260">
        <f t="shared" si="3"/>
        <v>0</v>
      </c>
      <c r="H119" s="252"/>
      <c r="I119" s="252"/>
      <c r="J119" s="252"/>
      <c r="K119" s="252"/>
      <c r="L119" s="252"/>
      <c r="M119" s="252"/>
      <c r="N119" s="252"/>
      <c r="O119" s="252">
        <v>56469</v>
      </c>
      <c r="P119" s="252">
        <v>10381</v>
      </c>
      <c r="Q119" s="252">
        <v>41089</v>
      </c>
      <c r="R119" s="252">
        <v>16235</v>
      </c>
      <c r="S119" s="252"/>
      <c r="T119" s="252">
        <v>51930</v>
      </c>
      <c r="U119" s="252"/>
      <c r="V119" s="252"/>
      <c r="W119" s="252"/>
      <c r="X119" s="252"/>
      <c r="Y119" s="252"/>
      <c r="Z119" s="252">
        <f>81546.85+17417.15</f>
        <v>98964</v>
      </c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</row>
    <row r="120" spans="1:50" s="4" customFormat="1" ht="18" customHeight="1" thickBot="1" x14ac:dyDescent="0.35">
      <c r="A120" s="152" t="s">
        <v>115</v>
      </c>
      <c r="B120" s="155" t="s">
        <v>508</v>
      </c>
      <c r="C120" s="238">
        <v>10000</v>
      </c>
      <c r="D120" s="145"/>
      <c r="E120" s="233">
        <v>10000</v>
      </c>
      <c r="F120" s="198">
        <f t="shared" si="2"/>
        <v>10000</v>
      </c>
      <c r="G120" s="260">
        <f t="shared" si="3"/>
        <v>0</v>
      </c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>
        <v>10000</v>
      </c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</row>
    <row r="121" spans="1:50" s="4" customFormat="1" ht="18" customHeight="1" thickBot="1" x14ac:dyDescent="0.35">
      <c r="A121" s="152" t="s">
        <v>116</v>
      </c>
      <c r="B121" s="155" t="s">
        <v>624</v>
      </c>
      <c r="C121" s="238">
        <v>18708</v>
      </c>
      <c r="D121" s="145"/>
      <c r="E121" s="233">
        <v>18708</v>
      </c>
      <c r="F121" s="198">
        <f t="shared" si="2"/>
        <v>18708</v>
      </c>
      <c r="G121" s="260">
        <f t="shared" si="3"/>
        <v>0</v>
      </c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>
        <v>18708</v>
      </c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</row>
    <row r="122" spans="1:50" s="4" customFormat="1" ht="18" customHeight="1" thickBot="1" x14ac:dyDescent="0.35">
      <c r="A122" s="152" t="s">
        <v>117</v>
      </c>
      <c r="B122" s="155" t="s">
        <v>512</v>
      </c>
      <c r="C122" s="238">
        <v>53882</v>
      </c>
      <c r="D122" s="145"/>
      <c r="E122" s="233">
        <v>53882</v>
      </c>
      <c r="F122" s="198">
        <f t="shared" si="2"/>
        <v>53882</v>
      </c>
      <c r="G122" s="260">
        <f t="shared" si="3"/>
        <v>0</v>
      </c>
      <c r="H122" s="252"/>
      <c r="I122" s="252"/>
      <c r="J122" s="252"/>
      <c r="K122" s="252"/>
      <c r="L122" s="252"/>
      <c r="M122" s="252">
        <v>10735</v>
      </c>
      <c r="N122" s="252"/>
      <c r="O122" s="252"/>
      <c r="P122" s="252"/>
      <c r="Q122" s="252">
        <v>375</v>
      </c>
      <c r="R122" s="252"/>
      <c r="S122" s="252"/>
      <c r="T122" s="252">
        <v>8017</v>
      </c>
      <c r="U122" s="252"/>
      <c r="V122" s="252">
        <v>22074</v>
      </c>
      <c r="W122" s="252"/>
      <c r="X122" s="252"/>
      <c r="Y122" s="252">
        <v>12681</v>
      </c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</row>
    <row r="123" spans="1:50" s="4" customFormat="1" ht="18" customHeight="1" thickBot="1" x14ac:dyDescent="0.35">
      <c r="A123" s="152" t="s">
        <v>118</v>
      </c>
      <c r="B123" s="155" t="s">
        <v>625</v>
      </c>
      <c r="C123" s="238">
        <v>10000</v>
      </c>
      <c r="D123" s="145"/>
      <c r="E123" s="233">
        <v>10000</v>
      </c>
      <c r="F123" s="198">
        <f t="shared" si="2"/>
        <v>10000</v>
      </c>
      <c r="G123" s="260">
        <f t="shared" si="3"/>
        <v>0</v>
      </c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>
        <v>10000</v>
      </c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</row>
    <row r="124" spans="1:50" s="4" customFormat="1" ht="18" customHeight="1" thickBot="1" x14ac:dyDescent="0.35">
      <c r="A124" s="152" t="s">
        <v>119</v>
      </c>
      <c r="B124" s="155" t="s">
        <v>515</v>
      </c>
      <c r="C124" s="238">
        <v>10000</v>
      </c>
      <c r="D124" s="145"/>
      <c r="E124" s="233">
        <v>10000</v>
      </c>
      <c r="F124" s="198">
        <f t="shared" si="2"/>
        <v>10000</v>
      </c>
      <c r="G124" s="260">
        <f t="shared" si="3"/>
        <v>0</v>
      </c>
      <c r="H124" s="252"/>
      <c r="I124" s="252"/>
      <c r="J124" s="252"/>
      <c r="K124" s="252"/>
      <c r="L124" s="252"/>
      <c r="M124" s="252"/>
      <c r="N124" s="252"/>
      <c r="O124" s="252"/>
      <c r="P124" s="252">
        <v>8500</v>
      </c>
      <c r="Q124" s="252"/>
      <c r="R124" s="252">
        <v>514</v>
      </c>
      <c r="S124" s="252">
        <v>986</v>
      </c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</row>
    <row r="125" spans="1:50" s="4" customFormat="1" ht="18" customHeight="1" thickBot="1" x14ac:dyDescent="0.35">
      <c r="A125" s="152" t="s">
        <v>120</v>
      </c>
      <c r="B125" s="155" t="s">
        <v>516</v>
      </c>
      <c r="C125" s="238">
        <v>83141</v>
      </c>
      <c r="D125" s="145"/>
      <c r="E125" s="233">
        <v>83141</v>
      </c>
      <c r="F125" s="198">
        <f t="shared" si="2"/>
        <v>83141</v>
      </c>
      <c r="G125" s="260">
        <f t="shared" si="3"/>
        <v>0</v>
      </c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>
        <v>10400</v>
      </c>
      <c r="S125" s="252">
        <v>20025</v>
      </c>
      <c r="T125" s="252">
        <v>23231</v>
      </c>
      <c r="U125" s="252"/>
      <c r="V125" s="252"/>
      <c r="W125" s="252"/>
      <c r="X125" s="252"/>
      <c r="Y125" s="252">
        <v>17360.57</v>
      </c>
      <c r="Z125" s="252">
        <v>12124.43</v>
      </c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</row>
    <row r="126" spans="1:50" s="4" customFormat="1" ht="18" customHeight="1" thickBot="1" x14ac:dyDescent="0.35">
      <c r="A126" s="152" t="s">
        <v>121</v>
      </c>
      <c r="B126" s="155" t="s">
        <v>518</v>
      </c>
      <c r="C126" s="238">
        <v>10000</v>
      </c>
      <c r="D126" s="145"/>
      <c r="E126" s="233">
        <v>10000</v>
      </c>
      <c r="F126" s="198">
        <f t="shared" si="2"/>
        <v>10000</v>
      </c>
      <c r="G126" s="260">
        <f t="shared" si="3"/>
        <v>0</v>
      </c>
      <c r="H126" s="252"/>
      <c r="I126" s="252"/>
      <c r="J126" s="252"/>
      <c r="K126" s="252"/>
      <c r="L126" s="252"/>
      <c r="M126" s="252"/>
      <c r="N126" s="252"/>
      <c r="O126" s="252">
        <v>5000</v>
      </c>
      <c r="P126" s="252"/>
      <c r="Q126" s="252"/>
      <c r="R126" s="252"/>
      <c r="S126" s="252">
        <v>5000</v>
      </c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</row>
    <row r="127" spans="1:50" s="4" customFormat="1" ht="18" customHeight="1" thickBot="1" x14ac:dyDescent="0.35">
      <c r="A127" s="152" t="s">
        <v>122</v>
      </c>
      <c r="B127" s="155" t="s">
        <v>519</v>
      </c>
      <c r="C127" s="238">
        <v>12864</v>
      </c>
      <c r="D127" s="145">
        <v>9035</v>
      </c>
      <c r="E127" s="233">
        <v>0</v>
      </c>
      <c r="F127" s="198">
        <f t="shared" si="2"/>
        <v>0</v>
      </c>
      <c r="G127" s="260">
        <f t="shared" si="3"/>
        <v>0</v>
      </c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</row>
    <row r="128" spans="1:50" s="4" customFormat="1" ht="18" customHeight="1" thickBot="1" x14ac:dyDescent="0.35">
      <c r="A128" s="152" t="s">
        <v>123</v>
      </c>
      <c r="B128" s="155" t="s">
        <v>521</v>
      </c>
      <c r="C128" s="238">
        <v>36490</v>
      </c>
      <c r="D128" s="145"/>
      <c r="E128" s="233">
        <v>36490</v>
      </c>
      <c r="F128" s="198">
        <f t="shared" si="2"/>
        <v>36490</v>
      </c>
      <c r="G128" s="260">
        <f t="shared" si="3"/>
        <v>0</v>
      </c>
      <c r="H128" s="252"/>
      <c r="I128" s="252"/>
      <c r="J128" s="252"/>
      <c r="K128" s="252"/>
      <c r="L128" s="252">
        <v>23470</v>
      </c>
      <c r="M128" s="252"/>
      <c r="N128" s="252"/>
      <c r="O128" s="252"/>
      <c r="P128" s="252">
        <v>7000</v>
      </c>
      <c r="Q128" s="252"/>
      <c r="R128" s="252"/>
      <c r="S128" s="252"/>
      <c r="T128" s="252"/>
      <c r="U128" s="252"/>
      <c r="V128" s="252"/>
      <c r="W128" s="252">
        <v>6020</v>
      </c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</row>
    <row r="129" spans="1:50" s="4" customFormat="1" ht="18" customHeight="1" thickBot="1" x14ac:dyDescent="0.35">
      <c r="A129" s="152" t="s">
        <v>124</v>
      </c>
      <c r="B129" s="155" t="s">
        <v>522</v>
      </c>
      <c r="C129" s="238">
        <v>10000</v>
      </c>
      <c r="D129" s="145">
        <v>9035</v>
      </c>
      <c r="E129" s="233">
        <v>0</v>
      </c>
      <c r="F129" s="198">
        <f t="shared" si="2"/>
        <v>0</v>
      </c>
      <c r="G129" s="260">
        <f t="shared" si="3"/>
        <v>0</v>
      </c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</row>
    <row r="130" spans="1:50" s="4" customFormat="1" ht="19.5" thickBot="1" x14ac:dyDescent="0.35">
      <c r="A130" s="152" t="s">
        <v>125</v>
      </c>
      <c r="B130" s="155" t="s">
        <v>523</v>
      </c>
      <c r="C130" s="238">
        <v>10000</v>
      </c>
      <c r="D130" s="145">
        <v>9035</v>
      </c>
      <c r="E130" s="233">
        <v>0</v>
      </c>
      <c r="F130" s="198">
        <f t="shared" si="2"/>
        <v>0</v>
      </c>
      <c r="G130" s="260">
        <f t="shared" si="3"/>
        <v>0</v>
      </c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</row>
    <row r="131" spans="1:50" s="4" customFormat="1" ht="19.5" thickBot="1" x14ac:dyDescent="0.35">
      <c r="A131" s="152" t="s">
        <v>126</v>
      </c>
      <c r="B131" s="155" t="s">
        <v>304</v>
      </c>
      <c r="C131" s="238">
        <v>44529</v>
      </c>
      <c r="D131" s="145"/>
      <c r="E131" s="233">
        <v>44529</v>
      </c>
      <c r="F131" s="198">
        <f t="shared" si="2"/>
        <v>44529</v>
      </c>
      <c r="G131" s="260">
        <f t="shared" si="3"/>
        <v>0</v>
      </c>
      <c r="H131" s="252"/>
      <c r="I131" s="252"/>
      <c r="J131" s="252"/>
      <c r="K131" s="252"/>
      <c r="L131" s="252"/>
      <c r="M131" s="252"/>
      <c r="N131" s="252"/>
      <c r="O131" s="252"/>
      <c r="P131" s="252"/>
      <c r="Q131" s="252">
        <v>23000</v>
      </c>
      <c r="R131" s="252"/>
      <c r="S131" s="252">
        <v>19329</v>
      </c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>
        <v>2200</v>
      </c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</row>
    <row r="132" spans="1:50" s="4" customFormat="1" ht="19.5" thickBot="1" x14ac:dyDescent="0.35">
      <c r="A132" s="152" t="s">
        <v>127</v>
      </c>
      <c r="B132" s="155" t="s">
        <v>305</v>
      </c>
      <c r="C132" s="238">
        <v>31461</v>
      </c>
      <c r="D132" s="145"/>
      <c r="E132" s="233">
        <v>31461</v>
      </c>
      <c r="F132" s="198">
        <f t="shared" si="2"/>
        <v>31461</v>
      </c>
      <c r="G132" s="260">
        <f t="shared" si="3"/>
        <v>0</v>
      </c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>
        <v>31461</v>
      </c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</row>
    <row r="133" spans="1:50" s="4" customFormat="1" ht="19.5" thickBot="1" x14ac:dyDescent="0.35">
      <c r="A133" s="152" t="s">
        <v>128</v>
      </c>
      <c r="B133" s="155" t="s">
        <v>306</v>
      </c>
      <c r="C133" s="238">
        <v>10000</v>
      </c>
      <c r="D133" s="145"/>
      <c r="E133" s="233">
        <v>10000</v>
      </c>
      <c r="F133" s="198">
        <f t="shared" si="2"/>
        <v>10000</v>
      </c>
      <c r="G133" s="260">
        <f t="shared" si="3"/>
        <v>0</v>
      </c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>
        <v>10000</v>
      </c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</row>
    <row r="134" spans="1:50" s="4" customFormat="1" ht="19.5" thickBot="1" x14ac:dyDescent="0.35">
      <c r="A134" s="152" t="s">
        <v>129</v>
      </c>
      <c r="B134" s="155" t="s">
        <v>307</v>
      </c>
      <c r="C134" s="238">
        <v>10000</v>
      </c>
      <c r="D134" s="145"/>
      <c r="E134" s="233">
        <v>10000</v>
      </c>
      <c r="F134" s="198">
        <f t="shared" si="2"/>
        <v>10000</v>
      </c>
      <c r="G134" s="260">
        <f t="shared" si="3"/>
        <v>0</v>
      </c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>
        <v>10000</v>
      </c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</row>
    <row r="135" spans="1:50" s="4" customFormat="1" ht="19.5" thickBot="1" x14ac:dyDescent="0.35">
      <c r="A135" s="152" t="s">
        <v>130</v>
      </c>
      <c r="B135" s="155" t="s">
        <v>308</v>
      </c>
      <c r="C135" s="238">
        <v>20000</v>
      </c>
      <c r="D135" s="145"/>
      <c r="E135" s="233">
        <f>C135</f>
        <v>20000</v>
      </c>
      <c r="F135" s="198">
        <f t="shared" si="2"/>
        <v>20000</v>
      </c>
      <c r="G135" s="260">
        <f t="shared" si="3"/>
        <v>0</v>
      </c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>
        <v>10000</v>
      </c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>
        <v>10000</v>
      </c>
      <c r="AQ135" s="252"/>
      <c r="AR135" s="252"/>
      <c r="AS135" s="252"/>
      <c r="AT135" s="252"/>
      <c r="AU135" s="252"/>
      <c r="AV135" s="252"/>
      <c r="AW135" s="252"/>
      <c r="AX135" s="252"/>
    </row>
    <row r="136" spans="1:50" s="4" customFormat="1" ht="19.5" thickBot="1" x14ac:dyDescent="0.35">
      <c r="A136" s="152" t="s">
        <v>131</v>
      </c>
      <c r="B136" s="155" t="s">
        <v>309</v>
      </c>
      <c r="C136" s="238">
        <v>10000</v>
      </c>
      <c r="D136" s="145"/>
      <c r="E136" s="233">
        <v>10000</v>
      </c>
      <c r="F136" s="198">
        <f t="shared" si="2"/>
        <v>10000</v>
      </c>
      <c r="G136" s="260">
        <f t="shared" si="3"/>
        <v>0</v>
      </c>
      <c r="H136" s="252"/>
      <c r="I136" s="252"/>
      <c r="J136" s="252"/>
      <c r="K136" s="252"/>
      <c r="L136" s="252"/>
      <c r="M136" s="252"/>
      <c r="N136" s="252"/>
      <c r="O136" s="252">
        <v>10000</v>
      </c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</row>
    <row r="137" spans="1:50" s="4" customFormat="1" ht="19.5" thickBot="1" x14ac:dyDescent="0.35">
      <c r="A137" s="152" t="s">
        <v>132</v>
      </c>
      <c r="B137" s="155" t="s">
        <v>310</v>
      </c>
      <c r="C137" s="238">
        <v>10000</v>
      </c>
      <c r="D137" s="145"/>
      <c r="E137" s="233">
        <v>10000</v>
      </c>
      <c r="F137" s="198">
        <f t="shared" si="2"/>
        <v>10000</v>
      </c>
      <c r="G137" s="260">
        <f t="shared" si="3"/>
        <v>0</v>
      </c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>
        <v>10000</v>
      </c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</row>
    <row r="138" spans="1:50" s="4" customFormat="1" ht="19.5" thickBot="1" x14ac:dyDescent="0.35">
      <c r="A138" s="152" t="s">
        <v>133</v>
      </c>
      <c r="B138" s="155" t="s">
        <v>311</v>
      </c>
      <c r="C138" s="238">
        <v>10000</v>
      </c>
      <c r="D138" s="145"/>
      <c r="E138" s="233">
        <v>10000</v>
      </c>
      <c r="F138" s="198">
        <f t="shared" si="2"/>
        <v>10000</v>
      </c>
      <c r="G138" s="260">
        <f t="shared" si="3"/>
        <v>0</v>
      </c>
      <c r="H138" s="252"/>
      <c r="I138" s="252"/>
      <c r="J138" s="252"/>
      <c r="K138" s="252"/>
      <c r="L138" s="252"/>
      <c r="M138" s="252"/>
      <c r="N138" s="252"/>
      <c r="O138" s="252">
        <v>7530</v>
      </c>
      <c r="P138" s="252"/>
      <c r="Q138" s="252"/>
      <c r="R138" s="252">
        <v>2470</v>
      </c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</row>
    <row r="139" spans="1:50" s="4" customFormat="1" ht="19.5" thickBot="1" x14ac:dyDescent="0.35">
      <c r="A139" s="152" t="s">
        <v>134</v>
      </c>
      <c r="B139" s="155" t="s">
        <v>312</v>
      </c>
      <c r="C139" s="238">
        <v>10000</v>
      </c>
      <c r="D139" s="145"/>
      <c r="E139" s="233">
        <v>10000</v>
      </c>
      <c r="F139" s="198">
        <f t="shared" si="2"/>
        <v>10000</v>
      </c>
      <c r="G139" s="260">
        <f t="shared" si="3"/>
        <v>0</v>
      </c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>
        <v>10000</v>
      </c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</row>
    <row r="140" spans="1:50" s="4" customFormat="1" ht="19.5" thickBot="1" x14ac:dyDescent="0.35">
      <c r="A140" s="152" t="s">
        <v>135</v>
      </c>
      <c r="B140" s="155" t="s">
        <v>527</v>
      </c>
      <c r="C140" s="238">
        <v>10000</v>
      </c>
      <c r="D140" s="145"/>
      <c r="E140" s="233">
        <v>10000</v>
      </c>
      <c r="F140" s="198">
        <f t="shared" si="2"/>
        <v>10000</v>
      </c>
      <c r="G140" s="260">
        <f t="shared" si="3"/>
        <v>0</v>
      </c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>
        <v>10000</v>
      </c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</row>
    <row r="141" spans="1:50" s="4" customFormat="1" ht="19.5" thickBot="1" x14ac:dyDescent="0.35">
      <c r="A141" s="152" t="s">
        <v>136</v>
      </c>
      <c r="B141" s="155" t="s">
        <v>528</v>
      </c>
      <c r="C141" s="238">
        <v>10000</v>
      </c>
      <c r="D141" s="145"/>
      <c r="E141" s="233">
        <v>10000</v>
      </c>
      <c r="F141" s="198">
        <f t="shared" ref="F141:F194" si="4">SUM(H141:AV141)</f>
        <v>10000</v>
      </c>
      <c r="G141" s="260">
        <f t="shared" ref="G141:G194" si="5">E141-(F141+AW141+AX141)</f>
        <v>0</v>
      </c>
      <c r="H141" s="252"/>
      <c r="I141" s="252"/>
      <c r="J141" s="252"/>
      <c r="K141" s="252"/>
      <c r="L141" s="252"/>
      <c r="M141" s="252">
        <v>10000</v>
      </c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</row>
    <row r="142" spans="1:50" s="4" customFormat="1" ht="19.5" thickBot="1" x14ac:dyDescent="0.35">
      <c r="A142" s="152" t="s">
        <v>137</v>
      </c>
      <c r="B142" s="155" t="s">
        <v>530</v>
      </c>
      <c r="C142" s="238">
        <v>10000</v>
      </c>
      <c r="D142" s="145">
        <v>9040</v>
      </c>
      <c r="E142" s="233">
        <v>0</v>
      </c>
      <c r="F142" s="198">
        <f t="shared" si="4"/>
        <v>0</v>
      </c>
      <c r="G142" s="260">
        <f t="shared" si="5"/>
        <v>0</v>
      </c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</row>
    <row r="143" spans="1:50" s="4" customFormat="1" ht="19.5" thickBot="1" x14ac:dyDescent="0.35">
      <c r="A143" s="152" t="s">
        <v>138</v>
      </c>
      <c r="B143" s="155" t="s">
        <v>316</v>
      </c>
      <c r="C143" s="238">
        <v>10000</v>
      </c>
      <c r="D143" s="145"/>
      <c r="E143" s="233">
        <v>10000</v>
      </c>
      <c r="F143" s="198">
        <f t="shared" si="4"/>
        <v>10000</v>
      </c>
      <c r="G143" s="260">
        <f t="shared" si="5"/>
        <v>0</v>
      </c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>
        <v>10000</v>
      </c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</row>
    <row r="144" spans="1:50" s="4" customFormat="1" ht="19.5" thickBot="1" x14ac:dyDescent="0.35">
      <c r="A144" s="152" t="s">
        <v>139</v>
      </c>
      <c r="B144" s="155" t="s">
        <v>532</v>
      </c>
      <c r="C144" s="238">
        <v>10000</v>
      </c>
      <c r="D144" s="145"/>
      <c r="E144" s="233">
        <v>10000</v>
      </c>
      <c r="F144" s="198">
        <f t="shared" si="4"/>
        <v>10000</v>
      </c>
      <c r="G144" s="260">
        <f t="shared" si="5"/>
        <v>0</v>
      </c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>
        <v>5000</v>
      </c>
      <c r="S144" s="252"/>
      <c r="T144" s="252">
        <v>5000</v>
      </c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</row>
    <row r="145" spans="1:50" s="4" customFormat="1" ht="19.5" thickBot="1" x14ac:dyDescent="0.35">
      <c r="A145" s="152" t="s">
        <v>140</v>
      </c>
      <c r="B145" s="155" t="s">
        <v>534</v>
      </c>
      <c r="C145" s="238">
        <v>31821</v>
      </c>
      <c r="D145" s="145"/>
      <c r="E145" s="233">
        <v>31821</v>
      </c>
      <c r="F145" s="198">
        <f t="shared" si="4"/>
        <v>31821</v>
      </c>
      <c r="G145" s="260">
        <f t="shared" si="5"/>
        <v>0</v>
      </c>
      <c r="H145" s="252"/>
      <c r="I145" s="252"/>
      <c r="J145" s="252"/>
      <c r="K145" s="252"/>
      <c r="L145" s="252"/>
      <c r="M145" s="252">
        <v>5234</v>
      </c>
      <c r="N145" s="252">
        <v>2616</v>
      </c>
      <c r="O145" s="252">
        <v>2555</v>
      </c>
      <c r="P145" s="252">
        <v>2617</v>
      </c>
      <c r="Q145" s="252">
        <v>2617</v>
      </c>
      <c r="R145" s="252">
        <f>2617+2616</f>
        <v>5233</v>
      </c>
      <c r="S145" s="252">
        <v>2616</v>
      </c>
      <c r="T145" s="252"/>
      <c r="U145" s="252">
        <v>7847</v>
      </c>
      <c r="V145" s="252"/>
      <c r="W145" s="252"/>
      <c r="X145" s="252"/>
      <c r="Y145" s="252">
        <v>486</v>
      </c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</row>
    <row r="146" spans="1:50" s="4" customFormat="1" ht="19.5" thickBot="1" x14ac:dyDescent="0.35">
      <c r="A146" s="152" t="s">
        <v>141</v>
      </c>
      <c r="B146" s="155" t="s">
        <v>535</v>
      </c>
      <c r="C146" s="238">
        <v>10000</v>
      </c>
      <c r="D146" s="145"/>
      <c r="E146" s="233">
        <v>10000</v>
      </c>
      <c r="F146" s="198">
        <f t="shared" si="4"/>
        <v>10000</v>
      </c>
      <c r="G146" s="260">
        <f t="shared" si="5"/>
        <v>0</v>
      </c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>
        <v>10000</v>
      </c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</row>
    <row r="147" spans="1:50" s="4" customFormat="1" ht="19.5" thickBot="1" x14ac:dyDescent="0.35">
      <c r="A147" s="152" t="s">
        <v>142</v>
      </c>
      <c r="B147" s="155" t="s">
        <v>536</v>
      </c>
      <c r="C147" s="238">
        <v>10000</v>
      </c>
      <c r="D147" s="145"/>
      <c r="E147" s="233">
        <v>10000</v>
      </c>
      <c r="F147" s="198">
        <f t="shared" si="4"/>
        <v>10000</v>
      </c>
      <c r="G147" s="260">
        <f t="shared" si="5"/>
        <v>0</v>
      </c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>
        <v>2364</v>
      </c>
      <c r="W147" s="252"/>
      <c r="X147" s="252"/>
      <c r="Y147" s="252"/>
      <c r="Z147" s="252"/>
      <c r="AA147" s="252">
        <v>7636</v>
      </c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</row>
    <row r="148" spans="1:50" s="4" customFormat="1" ht="19.5" thickBot="1" x14ac:dyDescent="0.35">
      <c r="A148" s="152" t="s">
        <v>143</v>
      </c>
      <c r="B148" s="155" t="s">
        <v>321</v>
      </c>
      <c r="C148" s="238">
        <v>377693</v>
      </c>
      <c r="D148" s="145"/>
      <c r="E148" s="233">
        <v>377693</v>
      </c>
      <c r="F148" s="198">
        <f t="shared" si="4"/>
        <v>377693</v>
      </c>
      <c r="G148" s="260">
        <f t="shared" si="5"/>
        <v>0</v>
      </c>
      <c r="H148" s="252"/>
      <c r="I148" s="252"/>
      <c r="J148" s="252"/>
      <c r="K148" s="252"/>
      <c r="L148" s="252">
        <v>2141</v>
      </c>
      <c r="M148" s="252"/>
      <c r="N148" s="252">
        <v>5177</v>
      </c>
      <c r="O148" s="252"/>
      <c r="P148" s="252"/>
      <c r="Q148" s="252"/>
      <c r="R148" s="252">
        <v>11010</v>
      </c>
      <c r="S148" s="252">
        <f>19924+12608</f>
        <v>32532</v>
      </c>
      <c r="T148" s="252"/>
      <c r="U148" s="252"/>
      <c r="V148" s="252"/>
      <c r="W148" s="252"/>
      <c r="X148" s="252">
        <f>47995+181009.19</f>
        <v>229004.19</v>
      </c>
      <c r="Y148" s="252"/>
      <c r="Z148" s="252">
        <v>76594.87</v>
      </c>
      <c r="AA148" s="252">
        <v>21233.94</v>
      </c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</row>
    <row r="149" spans="1:50" s="4" customFormat="1" ht="18" customHeight="1" thickBot="1" x14ac:dyDescent="0.35">
      <c r="A149" s="152" t="s">
        <v>144</v>
      </c>
      <c r="B149" s="155" t="s">
        <v>538</v>
      </c>
      <c r="C149" s="238">
        <v>72868</v>
      </c>
      <c r="D149" s="145"/>
      <c r="E149" s="233">
        <v>72868</v>
      </c>
      <c r="F149" s="198">
        <f t="shared" si="4"/>
        <v>72868</v>
      </c>
      <c r="G149" s="260">
        <f t="shared" si="5"/>
        <v>0</v>
      </c>
      <c r="H149" s="252"/>
      <c r="I149" s="252"/>
      <c r="J149" s="252"/>
      <c r="K149" s="252"/>
      <c r="L149" s="252"/>
      <c r="M149" s="252"/>
      <c r="N149" s="252">
        <v>1078</v>
      </c>
      <c r="O149" s="252"/>
      <c r="P149" s="252">
        <v>12098</v>
      </c>
      <c r="Q149" s="252">
        <f>22404+1000</f>
        <v>23404</v>
      </c>
      <c r="R149" s="252">
        <v>1800</v>
      </c>
      <c r="S149" s="252"/>
      <c r="T149" s="252">
        <v>12930</v>
      </c>
      <c r="U149" s="252">
        <v>13777</v>
      </c>
      <c r="V149" s="252"/>
      <c r="W149" s="252"/>
      <c r="X149" s="252">
        <v>7263.25</v>
      </c>
      <c r="Y149" s="252"/>
      <c r="Z149" s="252"/>
      <c r="AA149" s="252">
        <v>517.75</v>
      </c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</row>
    <row r="150" spans="1:50" s="4" customFormat="1" ht="19.5" thickBot="1" x14ac:dyDescent="0.35">
      <c r="A150" s="152" t="s">
        <v>145</v>
      </c>
      <c r="B150" s="155" t="s">
        <v>323</v>
      </c>
      <c r="C150" s="238">
        <v>10000</v>
      </c>
      <c r="D150" s="145"/>
      <c r="E150" s="233">
        <v>10000</v>
      </c>
      <c r="F150" s="198">
        <f t="shared" si="4"/>
        <v>10000</v>
      </c>
      <c r="G150" s="260">
        <f t="shared" si="5"/>
        <v>0</v>
      </c>
      <c r="H150" s="252"/>
      <c r="I150" s="252"/>
      <c r="J150" s="252"/>
      <c r="K150" s="252"/>
      <c r="L150" s="252">
        <v>3333</v>
      </c>
      <c r="M150" s="252"/>
      <c r="N150" s="252">
        <v>1666</v>
      </c>
      <c r="O150" s="252"/>
      <c r="P150" s="252"/>
      <c r="Q150" s="252">
        <v>2501</v>
      </c>
      <c r="R150" s="252"/>
      <c r="S150" s="252">
        <v>2500</v>
      </c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</row>
    <row r="151" spans="1:50" s="4" customFormat="1" ht="19.5" thickBot="1" x14ac:dyDescent="0.35">
      <c r="A151" s="152" t="s">
        <v>146</v>
      </c>
      <c r="B151" s="155" t="s">
        <v>541</v>
      </c>
      <c r="C151" s="238">
        <v>10000</v>
      </c>
      <c r="D151" s="145"/>
      <c r="E151" s="233">
        <v>10000</v>
      </c>
      <c r="F151" s="198">
        <f t="shared" si="4"/>
        <v>10000</v>
      </c>
      <c r="G151" s="260">
        <f t="shared" si="5"/>
        <v>0</v>
      </c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>
        <v>10000</v>
      </c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</row>
    <row r="152" spans="1:50" s="4" customFormat="1" ht="19.5" thickBot="1" x14ac:dyDescent="0.35">
      <c r="A152" s="152" t="s">
        <v>147</v>
      </c>
      <c r="B152" s="155" t="s">
        <v>325</v>
      </c>
      <c r="C152" s="238">
        <v>17094</v>
      </c>
      <c r="D152" s="145"/>
      <c r="E152" s="233">
        <v>17094</v>
      </c>
      <c r="F152" s="198">
        <f t="shared" si="4"/>
        <v>17094</v>
      </c>
      <c r="G152" s="260">
        <f t="shared" si="5"/>
        <v>0</v>
      </c>
      <c r="H152" s="252"/>
      <c r="I152" s="252"/>
      <c r="J152" s="252"/>
      <c r="K152" s="252"/>
      <c r="L152" s="252"/>
      <c r="M152" s="252"/>
      <c r="N152" s="252">
        <v>1253</v>
      </c>
      <c r="O152" s="252"/>
      <c r="P152" s="252"/>
      <c r="Q152" s="252"/>
      <c r="R152" s="252"/>
      <c r="S152" s="252">
        <v>9627</v>
      </c>
      <c r="T152" s="252"/>
      <c r="U152" s="252"/>
      <c r="V152" s="252"/>
      <c r="W152" s="252"/>
      <c r="X152" s="252"/>
      <c r="Y152" s="252"/>
      <c r="Z152" s="252"/>
      <c r="AA152" s="252"/>
      <c r="AB152" s="252">
        <v>6214</v>
      </c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</row>
    <row r="153" spans="1:50" s="4" customFormat="1" ht="19.5" thickBot="1" x14ac:dyDescent="0.35">
      <c r="A153" s="152" t="s">
        <v>148</v>
      </c>
      <c r="B153" s="155" t="s">
        <v>326</v>
      </c>
      <c r="C153" s="238">
        <v>19270</v>
      </c>
      <c r="D153" s="145"/>
      <c r="E153" s="233">
        <v>19270</v>
      </c>
      <c r="F153" s="198">
        <f t="shared" si="4"/>
        <v>19270</v>
      </c>
      <c r="G153" s="260">
        <f t="shared" si="5"/>
        <v>0</v>
      </c>
      <c r="H153" s="252"/>
      <c r="I153" s="252"/>
      <c r="J153" s="252"/>
      <c r="K153" s="252">
        <v>152</v>
      </c>
      <c r="L153" s="252">
        <v>1726</v>
      </c>
      <c r="M153" s="252">
        <v>708</v>
      </c>
      <c r="N153" s="252">
        <v>3550</v>
      </c>
      <c r="O153" s="252">
        <v>708</v>
      </c>
      <c r="P153" s="252">
        <v>707</v>
      </c>
      <c r="Q153" s="252">
        <v>708</v>
      </c>
      <c r="R153" s="252">
        <v>707</v>
      </c>
      <c r="S153" s="252">
        <v>2549</v>
      </c>
      <c r="T153" s="252">
        <v>3956</v>
      </c>
      <c r="U153" s="252">
        <v>778</v>
      </c>
      <c r="V153" s="252">
        <v>770</v>
      </c>
      <c r="W153" s="252">
        <v>392</v>
      </c>
      <c r="X153" s="252">
        <v>1661</v>
      </c>
      <c r="Y153" s="252">
        <v>198</v>
      </c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</row>
    <row r="154" spans="1:50" s="4" customFormat="1" ht="19.5" thickBot="1" x14ac:dyDescent="0.35">
      <c r="A154" s="152" t="s">
        <v>149</v>
      </c>
      <c r="B154" s="155" t="s">
        <v>543</v>
      </c>
      <c r="C154" s="238">
        <v>10000</v>
      </c>
      <c r="D154" s="145"/>
      <c r="E154" s="233">
        <v>10000</v>
      </c>
      <c r="F154" s="198">
        <f t="shared" si="4"/>
        <v>10000</v>
      </c>
      <c r="G154" s="260">
        <f t="shared" si="5"/>
        <v>0</v>
      </c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>
        <v>8254</v>
      </c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>
        <v>1746</v>
      </c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</row>
    <row r="155" spans="1:50" s="4" customFormat="1" ht="19.5" thickBot="1" x14ac:dyDescent="0.35">
      <c r="A155" s="152" t="s">
        <v>150</v>
      </c>
      <c r="B155" s="155" t="s">
        <v>544</v>
      </c>
      <c r="C155" s="238">
        <v>10000</v>
      </c>
      <c r="D155" s="145"/>
      <c r="E155" s="233">
        <v>10000</v>
      </c>
      <c r="F155" s="198">
        <f t="shared" si="4"/>
        <v>10000</v>
      </c>
      <c r="G155" s="260">
        <f t="shared" si="5"/>
        <v>0</v>
      </c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>
        <v>10000</v>
      </c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</row>
    <row r="156" spans="1:50" s="4" customFormat="1" ht="19.5" thickBot="1" x14ac:dyDescent="0.35">
      <c r="A156" s="152" t="s">
        <v>151</v>
      </c>
      <c r="B156" s="155" t="s">
        <v>546</v>
      </c>
      <c r="C156" s="238">
        <v>10000</v>
      </c>
      <c r="D156" s="145"/>
      <c r="E156" s="233">
        <v>10000</v>
      </c>
      <c r="F156" s="198">
        <f t="shared" si="4"/>
        <v>10000</v>
      </c>
      <c r="G156" s="260">
        <f t="shared" si="5"/>
        <v>0</v>
      </c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>
        <v>10000</v>
      </c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</row>
    <row r="157" spans="1:50" s="4" customFormat="1" ht="19.5" thickBot="1" x14ac:dyDescent="0.35">
      <c r="A157" s="152" t="s">
        <v>152</v>
      </c>
      <c r="B157" s="155" t="s">
        <v>330</v>
      </c>
      <c r="C157" s="238">
        <v>10000</v>
      </c>
      <c r="D157" s="145"/>
      <c r="E157" s="233">
        <v>10000</v>
      </c>
      <c r="F157" s="198">
        <f t="shared" si="4"/>
        <v>10000</v>
      </c>
      <c r="G157" s="260">
        <f t="shared" si="5"/>
        <v>0</v>
      </c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>
        <v>10000</v>
      </c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</row>
    <row r="158" spans="1:50" s="4" customFormat="1" ht="19.5" thickBot="1" x14ac:dyDescent="0.35">
      <c r="A158" s="152" t="s">
        <v>153</v>
      </c>
      <c r="B158" s="155" t="s">
        <v>331</v>
      </c>
      <c r="C158" s="238">
        <v>10000</v>
      </c>
      <c r="D158" s="145"/>
      <c r="E158" s="233">
        <v>10000</v>
      </c>
      <c r="F158" s="198">
        <f t="shared" si="4"/>
        <v>10000</v>
      </c>
      <c r="G158" s="260">
        <f t="shared" si="5"/>
        <v>0</v>
      </c>
      <c r="H158" s="252"/>
      <c r="I158" s="252"/>
      <c r="J158" s="252"/>
      <c r="K158" s="252"/>
      <c r="L158" s="252"/>
      <c r="M158" s="252"/>
      <c r="N158" s="252"/>
      <c r="O158" s="252"/>
      <c r="P158" s="252">
        <v>10000</v>
      </c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</row>
    <row r="159" spans="1:50" s="4" customFormat="1" ht="19.5" thickBot="1" x14ac:dyDescent="0.35">
      <c r="A159" s="152" t="s">
        <v>154</v>
      </c>
      <c r="B159" s="155" t="s">
        <v>332</v>
      </c>
      <c r="C159" s="238">
        <v>10000</v>
      </c>
      <c r="D159" s="145"/>
      <c r="E159" s="233">
        <v>10000</v>
      </c>
      <c r="F159" s="198">
        <f t="shared" si="4"/>
        <v>10000</v>
      </c>
      <c r="G159" s="260">
        <f t="shared" si="5"/>
        <v>0</v>
      </c>
      <c r="H159" s="252"/>
      <c r="I159" s="252"/>
      <c r="J159" s="252"/>
      <c r="K159" s="252"/>
      <c r="L159" s="252"/>
      <c r="M159" s="252"/>
      <c r="N159" s="252"/>
      <c r="O159" s="252"/>
      <c r="P159" s="252">
        <v>638</v>
      </c>
      <c r="Q159" s="252">
        <v>279</v>
      </c>
      <c r="R159" s="252">
        <v>1424</v>
      </c>
      <c r="S159" s="252">
        <v>3425</v>
      </c>
      <c r="T159" s="252">
        <v>1295</v>
      </c>
      <c r="U159" s="252">
        <v>897</v>
      </c>
      <c r="V159" s="252"/>
      <c r="W159" s="252">
        <v>1331.59</v>
      </c>
      <c r="X159" s="252">
        <v>609.04999999999995</v>
      </c>
      <c r="Y159" s="252">
        <v>101.36</v>
      </c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</row>
    <row r="160" spans="1:50" s="4" customFormat="1" ht="19.5" thickBot="1" x14ac:dyDescent="0.35">
      <c r="A160" s="152" t="s">
        <v>155</v>
      </c>
      <c r="B160" s="155" t="s">
        <v>550</v>
      </c>
      <c r="C160" s="238">
        <v>29154</v>
      </c>
      <c r="D160" s="145"/>
      <c r="E160" s="233">
        <v>29154</v>
      </c>
      <c r="F160" s="198">
        <f t="shared" si="4"/>
        <v>29154</v>
      </c>
      <c r="G160" s="260">
        <f t="shared" si="5"/>
        <v>0</v>
      </c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>
        <v>29154</v>
      </c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</row>
    <row r="161" spans="1:50" s="4" customFormat="1" ht="19.5" thickBot="1" x14ac:dyDescent="0.35">
      <c r="A161" s="152" t="s">
        <v>156</v>
      </c>
      <c r="B161" s="155" t="s">
        <v>334</v>
      </c>
      <c r="C161" s="238">
        <v>10000</v>
      </c>
      <c r="D161" s="145"/>
      <c r="E161" s="233">
        <v>10000</v>
      </c>
      <c r="F161" s="198">
        <f t="shared" si="4"/>
        <v>10000</v>
      </c>
      <c r="G161" s="260">
        <f t="shared" si="5"/>
        <v>0</v>
      </c>
      <c r="H161" s="252"/>
      <c r="I161" s="252"/>
      <c r="J161" s="252"/>
      <c r="K161" s="252"/>
      <c r="L161" s="252"/>
      <c r="M161" s="252">
        <v>10000</v>
      </c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</row>
    <row r="162" spans="1:50" s="4" customFormat="1" ht="19.5" thickBot="1" x14ac:dyDescent="0.35">
      <c r="A162" s="152" t="s">
        <v>157</v>
      </c>
      <c r="B162" s="155" t="s">
        <v>335</v>
      </c>
      <c r="C162" s="238">
        <v>10000</v>
      </c>
      <c r="D162" s="145"/>
      <c r="E162" s="233">
        <v>10000</v>
      </c>
      <c r="F162" s="198">
        <f t="shared" si="4"/>
        <v>10000</v>
      </c>
      <c r="G162" s="260">
        <f t="shared" si="5"/>
        <v>0</v>
      </c>
      <c r="H162" s="252"/>
      <c r="I162" s="252"/>
      <c r="J162" s="252"/>
      <c r="K162" s="252"/>
      <c r="L162" s="252"/>
      <c r="M162" s="252"/>
      <c r="N162" s="252"/>
      <c r="O162" s="252"/>
      <c r="P162" s="252"/>
      <c r="Q162" s="252">
        <v>5000</v>
      </c>
      <c r="R162" s="252"/>
      <c r="S162" s="252">
        <v>5000</v>
      </c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</row>
    <row r="163" spans="1:50" s="4" customFormat="1" ht="19.5" thickBot="1" x14ac:dyDescent="0.35">
      <c r="A163" s="152" t="s">
        <v>158</v>
      </c>
      <c r="B163" s="155" t="s">
        <v>336</v>
      </c>
      <c r="C163" s="238">
        <v>10000</v>
      </c>
      <c r="D163" s="145"/>
      <c r="E163" s="233">
        <v>10000</v>
      </c>
      <c r="F163" s="198">
        <f t="shared" si="4"/>
        <v>10000</v>
      </c>
      <c r="G163" s="260">
        <f t="shared" si="5"/>
        <v>0</v>
      </c>
      <c r="H163" s="252"/>
      <c r="I163" s="252"/>
      <c r="J163" s="252"/>
      <c r="K163" s="252"/>
      <c r="L163" s="252"/>
      <c r="M163" s="252"/>
      <c r="N163" s="252"/>
      <c r="O163" s="252">
        <v>10000</v>
      </c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</row>
    <row r="164" spans="1:50" s="4" customFormat="1" ht="19.5" thickBot="1" x14ac:dyDescent="0.35">
      <c r="A164" s="152" t="s">
        <v>159</v>
      </c>
      <c r="B164" s="155" t="s">
        <v>553</v>
      </c>
      <c r="C164" s="238">
        <v>10000</v>
      </c>
      <c r="D164" s="145">
        <v>9040</v>
      </c>
      <c r="E164" s="233">
        <v>0</v>
      </c>
      <c r="F164" s="198">
        <f t="shared" si="4"/>
        <v>0</v>
      </c>
      <c r="G164" s="260">
        <f t="shared" si="5"/>
        <v>0</v>
      </c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</row>
    <row r="165" spans="1:50" s="4" customFormat="1" ht="19.5" thickBot="1" x14ac:dyDescent="0.35">
      <c r="A165" s="152" t="s">
        <v>160</v>
      </c>
      <c r="B165" s="155" t="s">
        <v>402</v>
      </c>
      <c r="C165" s="238">
        <v>10000</v>
      </c>
      <c r="D165" s="145">
        <v>9040</v>
      </c>
      <c r="E165" s="233">
        <v>0</v>
      </c>
      <c r="F165" s="198">
        <f t="shared" si="4"/>
        <v>0</v>
      </c>
      <c r="G165" s="260">
        <f t="shared" si="5"/>
        <v>0</v>
      </c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</row>
    <row r="166" spans="1:50" s="4" customFormat="1" ht="19.5" thickBot="1" x14ac:dyDescent="0.35">
      <c r="A166" s="152" t="s">
        <v>161</v>
      </c>
      <c r="B166" s="155" t="s">
        <v>556</v>
      </c>
      <c r="C166" s="238">
        <v>17979</v>
      </c>
      <c r="D166" s="145"/>
      <c r="E166" s="233">
        <v>17979</v>
      </c>
      <c r="F166" s="198">
        <f t="shared" si="4"/>
        <v>17979</v>
      </c>
      <c r="G166" s="260">
        <f t="shared" si="5"/>
        <v>0</v>
      </c>
      <c r="H166" s="252"/>
      <c r="I166" s="252"/>
      <c r="J166" s="252"/>
      <c r="K166" s="252"/>
      <c r="L166" s="252"/>
      <c r="M166" s="252">
        <v>3561</v>
      </c>
      <c r="N166" s="252">
        <v>250</v>
      </c>
      <c r="O166" s="252"/>
      <c r="P166" s="252"/>
      <c r="Q166" s="252">
        <v>840</v>
      </c>
      <c r="R166" s="252">
        <v>879</v>
      </c>
      <c r="S166" s="252"/>
      <c r="T166" s="252"/>
      <c r="U166" s="252"/>
      <c r="V166" s="252"/>
      <c r="W166" s="252">
        <v>3592.98</v>
      </c>
      <c r="X166" s="252"/>
      <c r="Y166" s="252">
        <v>6145.96</v>
      </c>
      <c r="Z166" s="252">
        <v>2710.06</v>
      </c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</row>
    <row r="167" spans="1:50" s="4" customFormat="1" ht="19.5" thickBot="1" x14ac:dyDescent="0.35">
      <c r="A167" s="152" t="s">
        <v>162</v>
      </c>
      <c r="B167" s="155" t="s">
        <v>558</v>
      </c>
      <c r="C167" s="238">
        <v>10000</v>
      </c>
      <c r="D167" s="145"/>
      <c r="E167" s="233">
        <v>10000</v>
      </c>
      <c r="F167" s="198">
        <f t="shared" si="4"/>
        <v>10000</v>
      </c>
      <c r="G167" s="260">
        <f t="shared" si="5"/>
        <v>0</v>
      </c>
      <c r="H167" s="252"/>
      <c r="I167" s="252"/>
      <c r="J167" s="252"/>
      <c r="K167" s="252"/>
      <c r="L167" s="252"/>
      <c r="M167" s="252"/>
      <c r="N167" s="252">
        <v>1560</v>
      </c>
      <c r="O167" s="252"/>
      <c r="P167" s="252">
        <v>480</v>
      </c>
      <c r="Q167" s="252"/>
      <c r="R167" s="252">
        <v>4918</v>
      </c>
      <c r="S167" s="252">
        <v>3042</v>
      </c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</row>
    <row r="168" spans="1:50" s="4" customFormat="1" ht="19.5" thickBot="1" x14ac:dyDescent="0.35">
      <c r="A168" s="152" t="s">
        <v>163</v>
      </c>
      <c r="B168" s="155" t="s">
        <v>560</v>
      </c>
      <c r="C168" s="238">
        <v>19069</v>
      </c>
      <c r="D168" s="145"/>
      <c r="E168" s="233">
        <v>19069</v>
      </c>
      <c r="F168" s="198">
        <f t="shared" si="4"/>
        <v>19069</v>
      </c>
      <c r="G168" s="260">
        <f t="shared" si="5"/>
        <v>0</v>
      </c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>
        <v>19069</v>
      </c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</row>
    <row r="169" spans="1:50" s="4" customFormat="1" ht="19.5" thickBot="1" x14ac:dyDescent="0.35">
      <c r="A169" s="152" t="s">
        <v>164</v>
      </c>
      <c r="B169" s="155" t="s">
        <v>341</v>
      </c>
      <c r="C169" s="238">
        <v>10000</v>
      </c>
      <c r="D169" s="145">
        <v>9040</v>
      </c>
      <c r="E169" s="233">
        <v>0</v>
      </c>
      <c r="F169" s="198">
        <f t="shared" si="4"/>
        <v>0</v>
      </c>
      <c r="G169" s="260">
        <f t="shared" si="5"/>
        <v>0</v>
      </c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</row>
    <row r="170" spans="1:50" s="4" customFormat="1" ht="19.5" thickBot="1" x14ac:dyDescent="0.35">
      <c r="A170" s="152" t="s">
        <v>165</v>
      </c>
      <c r="B170" s="155" t="s">
        <v>342</v>
      </c>
      <c r="C170" s="238">
        <v>10000</v>
      </c>
      <c r="D170" s="145">
        <v>9025</v>
      </c>
      <c r="E170" s="233">
        <v>0</v>
      </c>
      <c r="F170" s="198">
        <f t="shared" si="4"/>
        <v>0</v>
      </c>
      <c r="G170" s="260">
        <f t="shared" si="5"/>
        <v>0</v>
      </c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</row>
    <row r="171" spans="1:50" s="4" customFormat="1" ht="19.5" thickBot="1" x14ac:dyDescent="0.35">
      <c r="A171" s="152" t="s">
        <v>166</v>
      </c>
      <c r="B171" s="155" t="s">
        <v>343</v>
      </c>
      <c r="C171" s="238">
        <v>10000</v>
      </c>
      <c r="D171" s="145">
        <v>9040</v>
      </c>
      <c r="E171" s="233">
        <v>0</v>
      </c>
      <c r="F171" s="198">
        <f t="shared" si="4"/>
        <v>0</v>
      </c>
      <c r="G171" s="260">
        <f t="shared" si="5"/>
        <v>0</v>
      </c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</row>
    <row r="172" spans="1:50" s="4" customFormat="1" ht="19.5" thickBot="1" x14ac:dyDescent="0.35">
      <c r="A172" s="152" t="s">
        <v>167</v>
      </c>
      <c r="B172" s="155" t="s">
        <v>344</v>
      </c>
      <c r="C172" s="238">
        <v>10000</v>
      </c>
      <c r="D172" s="145">
        <v>9040</v>
      </c>
      <c r="E172" s="233">
        <v>0</v>
      </c>
      <c r="F172" s="198">
        <f t="shared" si="4"/>
        <v>0</v>
      </c>
      <c r="G172" s="260">
        <f t="shared" si="5"/>
        <v>0</v>
      </c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</row>
    <row r="173" spans="1:50" s="4" customFormat="1" ht="19.5" thickBot="1" x14ac:dyDescent="0.35">
      <c r="A173" s="152" t="s">
        <v>168</v>
      </c>
      <c r="B173" s="155" t="s">
        <v>345</v>
      </c>
      <c r="C173" s="238">
        <v>10000</v>
      </c>
      <c r="D173" s="145">
        <v>9025</v>
      </c>
      <c r="E173" s="233">
        <v>0</v>
      </c>
      <c r="F173" s="198">
        <f t="shared" si="4"/>
        <v>0</v>
      </c>
      <c r="G173" s="260">
        <f t="shared" si="5"/>
        <v>0</v>
      </c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</row>
    <row r="174" spans="1:50" s="4" customFormat="1" ht="19.5" thickBot="1" x14ac:dyDescent="0.35">
      <c r="A174" s="152" t="s">
        <v>169</v>
      </c>
      <c r="B174" s="155" t="s">
        <v>562</v>
      </c>
      <c r="C174" s="238">
        <v>19955</v>
      </c>
      <c r="D174" s="145">
        <v>9035</v>
      </c>
      <c r="E174" s="233">
        <v>0</v>
      </c>
      <c r="F174" s="198">
        <f t="shared" si="4"/>
        <v>0</v>
      </c>
      <c r="G174" s="260">
        <f t="shared" si="5"/>
        <v>0</v>
      </c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</row>
    <row r="175" spans="1:50" s="4" customFormat="1" ht="18" customHeight="1" thickBot="1" x14ac:dyDescent="0.35">
      <c r="A175" s="152" t="s">
        <v>170</v>
      </c>
      <c r="B175" s="155" t="s">
        <v>564</v>
      </c>
      <c r="C175" s="238">
        <v>10000</v>
      </c>
      <c r="D175" s="145"/>
      <c r="E175" s="233">
        <v>10000</v>
      </c>
      <c r="F175" s="198">
        <f t="shared" si="4"/>
        <v>10000</v>
      </c>
      <c r="G175" s="260">
        <f t="shared" si="5"/>
        <v>0</v>
      </c>
      <c r="H175" s="252"/>
      <c r="I175" s="252"/>
      <c r="J175" s="252"/>
      <c r="K175" s="252"/>
      <c r="L175" s="252"/>
      <c r="M175" s="252"/>
      <c r="N175" s="252"/>
      <c r="O175" s="252">
        <v>2309</v>
      </c>
      <c r="P175" s="252"/>
      <c r="Q175" s="252"/>
      <c r="R175" s="252">
        <v>2801</v>
      </c>
      <c r="S175" s="252"/>
      <c r="T175" s="252"/>
      <c r="U175" s="252"/>
      <c r="V175" s="252">
        <v>1109</v>
      </c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>
        <v>3781</v>
      </c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</row>
    <row r="176" spans="1:50" s="4" customFormat="1" ht="18" customHeight="1" thickBot="1" x14ac:dyDescent="0.35">
      <c r="A176" s="152" t="s">
        <v>171</v>
      </c>
      <c r="B176" s="155" t="s">
        <v>403</v>
      </c>
      <c r="C176" s="238">
        <v>22436</v>
      </c>
      <c r="D176" s="145"/>
      <c r="E176" s="233">
        <v>22436</v>
      </c>
      <c r="F176" s="198">
        <f t="shared" si="4"/>
        <v>22436</v>
      </c>
      <c r="G176" s="260">
        <f t="shared" si="5"/>
        <v>0</v>
      </c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>
        <v>22436</v>
      </c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</row>
    <row r="177" spans="1:50" s="4" customFormat="1" ht="18" customHeight="1" thickBot="1" x14ac:dyDescent="0.35">
      <c r="A177" s="152" t="s">
        <v>172</v>
      </c>
      <c r="B177" s="155" t="s">
        <v>565</v>
      </c>
      <c r="C177" s="238">
        <v>13802</v>
      </c>
      <c r="D177" s="145"/>
      <c r="E177" s="233">
        <v>13802</v>
      </c>
      <c r="F177" s="198">
        <f t="shared" si="4"/>
        <v>13802</v>
      </c>
      <c r="G177" s="260">
        <f t="shared" si="5"/>
        <v>0</v>
      </c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>
        <v>13802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</row>
    <row r="178" spans="1:50" s="4" customFormat="1" ht="18" customHeight="1" thickBot="1" x14ac:dyDescent="0.35">
      <c r="A178" s="152" t="s">
        <v>173</v>
      </c>
      <c r="B178" s="155" t="s">
        <v>566</v>
      </c>
      <c r="C178" s="238">
        <v>14045</v>
      </c>
      <c r="D178" s="145"/>
      <c r="E178" s="233">
        <v>14045</v>
      </c>
      <c r="F178" s="198">
        <f t="shared" si="4"/>
        <v>14045</v>
      </c>
      <c r="G178" s="260">
        <f t="shared" si="5"/>
        <v>0</v>
      </c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>
        <v>3535</v>
      </c>
      <c r="T178" s="252"/>
      <c r="U178" s="252"/>
      <c r="V178" s="252"/>
      <c r="W178" s="252"/>
      <c r="X178" s="252"/>
      <c r="Y178" s="252">
        <v>10510</v>
      </c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</row>
    <row r="179" spans="1:50" s="4" customFormat="1" ht="18" customHeight="1" thickBot="1" x14ac:dyDescent="0.35">
      <c r="A179" s="152" t="s">
        <v>174</v>
      </c>
      <c r="B179" s="155" t="s">
        <v>350</v>
      </c>
      <c r="C179" s="238">
        <v>293557</v>
      </c>
      <c r="D179" s="145"/>
      <c r="E179" s="233">
        <v>293557</v>
      </c>
      <c r="F179" s="198">
        <f t="shared" si="4"/>
        <v>293557</v>
      </c>
      <c r="G179" s="260">
        <f t="shared" si="5"/>
        <v>0</v>
      </c>
      <c r="H179" s="252"/>
      <c r="I179" s="252"/>
      <c r="J179" s="252"/>
      <c r="K179" s="252"/>
      <c r="L179" s="252"/>
      <c r="M179" s="252">
        <v>3969</v>
      </c>
      <c r="N179" s="252"/>
      <c r="O179" s="252">
        <v>40310</v>
      </c>
      <c r="P179" s="252">
        <v>8209</v>
      </c>
      <c r="Q179" s="252">
        <v>24555</v>
      </c>
      <c r="R179" s="252">
        <v>10595</v>
      </c>
      <c r="S179" s="252">
        <v>7788.24</v>
      </c>
      <c r="T179" s="252">
        <v>66161.73</v>
      </c>
      <c r="U179" s="252"/>
      <c r="V179" s="252"/>
      <c r="W179" s="252">
        <v>63938.49</v>
      </c>
      <c r="X179" s="252">
        <v>68030.539999999994</v>
      </c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</row>
    <row r="180" spans="1:50" s="4" customFormat="1" ht="18" customHeight="1" thickBot="1" x14ac:dyDescent="0.35">
      <c r="A180" s="152" t="s">
        <v>175</v>
      </c>
      <c r="B180" s="155" t="s">
        <v>567</v>
      </c>
      <c r="C180" s="238">
        <v>10000</v>
      </c>
      <c r="D180" s="145">
        <v>9035</v>
      </c>
      <c r="E180" s="233">
        <v>0</v>
      </c>
      <c r="F180" s="198">
        <f t="shared" si="4"/>
        <v>0</v>
      </c>
      <c r="G180" s="260">
        <f t="shared" si="5"/>
        <v>0</v>
      </c>
      <c r="H180" s="252"/>
      <c r="I180" s="252"/>
      <c r="J180" s="252"/>
      <c r="K180" s="252"/>
      <c r="L180" s="252">
        <v>0</v>
      </c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</row>
    <row r="181" spans="1:50" s="4" customFormat="1" ht="18" customHeight="1" thickBot="1" x14ac:dyDescent="0.35">
      <c r="A181" s="152" t="s">
        <v>176</v>
      </c>
      <c r="B181" s="155" t="s">
        <v>568</v>
      </c>
      <c r="C181" s="238">
        <v>22888</v>
      </c>
      <c r="D181" s="145"/>
      <c r="E181" s="233">
        <v>22888</v>
      </c>
      <c r="F181" s="198">
        <f t="shared" si="4"/>
        <v>22888</v>
      </c>
      <c r="G181" s="260">
        <f t="shared" si="5"/>
        <v>0</v>
      </c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>
        <v>11768</v>
      </c>
      <c r="T181" s="252"/>
      <c r="U181" s="252"/>
      <c r="V181" s="252"/>
      <c r="W181" s="252">
        <v>11120</v>
      </c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</row>
    <row r="182" spans="1:50" s="4" customFormat="1" ht="18" customHeight="1" thickBot="1" x14ac:dyDescent="0.35">
      <c r="A182" s="152" t="s">
        <v>177</v>
      </c>
      <c r="B182" s="155" t="s">
        <v>569</v>
      </c>
      <c r="C182" s="238">
        <v>10598</v>
      </c>
      <c r="D182" s="145"/>
      <c r="E182" s="233">
        <v>10598</v>
      </c>
      <c r="F182" s="198">
        <f t="shared" si="4"/>
        <v>10598</v>
      </c>
      <c r="G182" s="260">
        <f t="shared" si="5"/>
        <v>0</v>
      </c>
      <c r="H182" s="252"/>
      <c r="I182" s="252"/>
      <c r="J182" s="252"/>
      <c r="K182" s="252"/>
      <c r="L182" s="252"/>
      <c r="M182" s="252"/>
      <c r="N182" s="252"/>
      <c r="O182" s="252"/>
      <c r="P182" s="252">
        <v>6527</v>
      </c>
      <c r="Q182" s="252"/>
      <c r="R182" s="252"/>
      <c r="S182" s="252">
        <v>2980</v>
      </c>
      <c r="T182" s="252"/>
      <c r="U182" s="252">
        <v>992.27</v>
      </c>
      <c r="V182" s="252"/>
      <c r="W182" s="252"/>
      <c r="X182" s="252"/>
      <c r="Y182" s="252"/>
      <c r="Z182" s="252"/>
      <c r="AA182" s="252"/>
      <c r="AB182" s="252">
        <v>98.73</v>
      </c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</row>
    <row r="183" spans="1:50" s="4" customFormat="1" ht="18" customHeight="1" thickBot="1" x14ac:dyDescent="0.35">
      <c r="A183" s="152" t="s">
        <v>178</v>
      </c>
      <c r="B183" s="155" t="s">
        <v>570</v>
      </c>
      <c r="C183" s="238">
        <v>10000</v>
      </c>
      <c r="D183" s="145">
        <v>9035</v>
      </c>
      <c r="E183" s="233">
        <v>0</v>
      </c>
      <c r="F183" s="198">
        <f t="shared" si="4"/>
        <v>0</v>
      </c>
      <c r="G183" s="260">
        <f t="shared" si="5"/>
        <v>0</v>
      </c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</row>
    <row r="184" spans="1:50" s="4" customFormat="1" ht="18" customHeight="1" thickBot="1" x14ac:dyDescent="0.35">
      <c r="A184" s="152" t="s">
        <v>179</v>
      </c>
      <c r="B184" s="155" t="s">
        <v>571</v>
      </c>
      <c r="C184" s="238">
        <v>10000</v>
      </c>
      <c r="D184" s="145">
        <v>9035</v>
      </c>
      <c r="E184" s="233">
        <v>0</v>
      </c>
      <c r="F184" s="198">
        <f t="shared" si="4"/>
        <v>0</v>
      </c>
      <c r="G184" s="260">
        <f t="shared" si="5"/>
        <v>0</v>
      </c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</row>
    <row r="185" spans="1:50" s="4" customFormat="1" ht="18" customHeight="1" thickBot="1" x14ac:dyDescent="0.35">
      <c r="A185" s="152" t="s">
        <v>180</v>
      </c>
      <c r="B185" s="155" t="s">
        <v>572</v>
      </c>
      <c r="C185" s="238">
        <v>10000</v>
      </c>
      <c r="D185" s="145">
        <v>9035</v>
      </c>
      <c r="E185" s="233">
        <v>0</v>
      </c>
      <c r="F185" s="198">
        <f t="shared" si="4"/>
        <v>0</v>
      </c>
      <c r="G185" s="260">
        <f t="shared" si="5"/>
        <v>0</v>
      </c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  <c r="AW185" s="252"/>
      <c r="AX185" s="252"/>
    </row>
    <row r="186" spans="1:50" s="4" customFormat="1" ht="18" customHeight="1" thickBot="1" x14ac:dyDescent="0.35">
      <c r="A186" s="152" t="s">
        <v>181</v>
      </c>
      <c r="B186" s="155" t="s">
        <v>357</v>
      </c>
      <c r="C186" s="238">
        <v>10503</v>
      </c>
      <c r="D186" s="145"/>
      <c r="E186" s="233">
        <v>10503</v>
      </c>
      <c r="F186" s="198">
        <f t="shared" si="4"/>
        <v>10503</v>
      </c>
      <c r="G186" s="260">
        <f t="shared" si="5"/>
        <v>0</v>
      </c>
      <c r="H186" s="252"/>
      <c r="I186" s="252"/>
      <c r="J186" s="252"/>
      <c r="K186" s="252"/>
      <c r="L186" s="252"/>
      <c r="M186" s="252"/>
      <c r="N186" s="252"/>
      <c r="O186" s="252">
        <v>8486</v>
      </c>
      <c r="P186" s="252"/>
      <c r="Q186" s="252"/>
      <c r="R186" s="252"/>
      <c r="S186" s="252">
        <v>352</v>
      </c>
      <c r="T186" s="283"/>
      <c r="U186" s="252"/>
      <c r="V186" s="252"/>
      <c r="W186" s="252"/>
      <c r="X186" s="252"/>
      <c r="Y186" s="252"/>
      <c r="Z186" s="252"/>
      <c r="AA186" s="252"/>
      <c r="AB186" s="252">
        <v>1665</v>
      </c>
      <c r="AC186" s="252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</row>
    <row r="187" spans="1:50" s="4" customFormat="1" ht="18" customHeight="1" thickBot="1" x14ac:dyDescent="0.35">
      <c r="A187" s="152" t="s">
        <v>182</v>
      </c>
      <c r="B187" s="155" t="s">
        <v>358</v>
      </c>
      <c r="C187" s="238">
        <v>10000</v>
      </c>
      <c r="D187" s="145"/>
      <c r="E187" s="233">
        <v>10000</v>
      </c>
      <c r="F187" s="198">
        <f t="shared" si="4"/>
        <v>10000</v>
      </c>
      <c r="G187" s="260">
        <f t="shared" si="5"/>
        <v>0</v>
      </c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>
        <v>4792</v>
      </c>
      <c r="T187" s="278">
        <v>5208</v>
      </c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</row>
    <row r="188" spans="1:50" s="4" customFormat="1" ht="18" customHeight="1" thickBot="1" x14ac:dyDescent="0.35">
      <c r="A188" s="152" t="s">
        <v>183</v>
      </c>
      <c r="B188" s="155" t="s">
        <v>359</v>
      </c>
      <c r="C188" s="238">
        <v>10000</v>
      </c>
      <c r="D188" s="145">
        <v>9025</v>
      </c>
      <c r="E188" s="233">
        <v>0</v>
      </c>
      <c r="F188" s="198">
        <f t="shared" si="4"/>
        <v>0</v>
      </c>
      <c r="G188" s="260">
        <f t="shared" si="5"/>
        <v>0</v>
      </c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</row>
    <row r="189" spans="1:50" s="4" customFormat="1" ht="18" customHeight="1" thickBot="1" x14ac:dyDescent="0.35">
      <c r="A189" s="152" t="s">
        <v>184</v>
      </c>
      <c r="B189" s="155" t="s">
        <v>360</v>
      </c>
      <c r="C189" s="238">
        <v>10000</v>
      </c>
      <c r="D189" s="145">
        <v>9025</v>
      </c>
      <c r="E189" s="233">
        <v>0</v>
      </c>
      <c r="F189" s="198">
        <f t="shared" si="4"/>
        <v>0</v>
      </c>
      <c r="G189" s="260">
        <f t="shared" si="5"/>
        <v>0</v>
      </c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</row>
    <row r="190" spans="1:50" ht="18" customHeight="1" thickBot="1" x14ac:dyDescent="0.3">
      <c r="A190" s="152" t="s">
        <v>407</v>
      </c>
      <c r="B190" s="155" t="s">
        <v>576</v>
      </c>
      <c r="C190" s="238">
        <v>126783</v>
      </c>
      <c r="D190" s="145"/>
      <c r="E190" s="233">
        <v>126783</v>
      </c>
      <c r="F190" s="198">
        <f t="shared" si="4"/>
        <v>126783</v>
      </c>
      <c r="G190" s="260">
        <f t="shared" si="5"/>
        <v>0</v>
      </c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79">
        <v>89759</v>
      </c>
      <c r="T190" s="252"/>
      <c r="U190" s="252"/>
      <c r="V190" s="252"/>
      <c r="W190" s="252"/>
      <c r="X190" s="252"/>
      <c r="Y190" s="252">
        <v>24942</v>
      </c>
      <c r="Z190" s="252">
        <v>12082</v>
      </c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</row>
    <row r="191" spans="1:50" ht="16.5" thickBot="1" x14ac:dyDescent="0.3">
      <c r="A191" s="152" t="s">
        <v>363</v>
      </c>
      <c r="B191" s="155" t="s">
        <v>626</v>
      </c>
      <c r="C191" s="238">
        <v>10000</v>
      </c>
      <c r="D191" s="145"/>
      <c r="E191" s="233">
        <v>10000</v>
      </c>
      <c r="F191" s="198">
        <f t="shared" si="4"/>
        <v>10000</v>
      </c>
      <c r="G191" s="260">
        <f t="shared" si="5"/>
        <v>0</v>
      </c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78">
        <v>10000</v>
      </c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</row>
    <row r="192" spans="1:50" ht="16.5" thickBot="1" x14ac:dyDescent="0.3">
      <c r="A192" s="152" t="s">
        <v>371</v>
      </c>
      <c r="B192" s="155" t="s">
        <v>375</v>
      </c>
      <c r="C192" s="238">
        <v>0</v>
      </c>
      <c r="D192" s="145"/>
      <c r="E192" s="233">
        <v>190000</v>
      </c>
      <c r="F192" s="198">
        <f t="shared" si="4"/>
        <v>190000</v>
      </c>
      <c r="G192" s="260">
        <f t="shared" si="5"/>
        <v>0</v>
      </c>
      <c r="H192" s="252"/>
      <c r="I192" s="252"/>
      <c r="J192" s="252"/>
      <c r="K192" s="252"/>
      <c r="L192" s="252">
        <v>13945</v>
      </c>
      <c r="M192" s="252">
        <v>1440</v>
      </c>
      <c r="N192" s="252">
        <v>63258</v>
      </c>
      <c r="O192" s="252">
        <v>4433</v>
      </c>
      <c r="P192" s="252">
        <v>10000</v>
      </c>
      <c r="Q192" s="252">
        <v>20296</v>
      </c>
      <c r="R192" s="252">
        <v>7709</v>
      </c>
      <c r="S192" s="280">
        <v>63659</v>
      </c>
      <c r="T192" s="284"/>
      <c r="U192" s="281">
        <v>5260</v>
      </c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</row>
    <row r="193" spans="1:50" ht="16.5" thickBot="1" x14ac:dyDescent="0.3">
      <c r="A193" s="152" t="s">
        <v>372</v>
      </c>
      <c r="B193" s="155" t="s">
        <v>627</v>
      </c>
      <c r="C193" s="238">
        <v>0</v>
      </c>
      <c r="D193" s="145"/>
      <c r="E193" s="233">
        <v>122288</v>
      </c>
      <c r="F193" s="198">
        <f t="shared" si="4"/>
        <v>122288</v>
      </c>
      <c r="G193" s="260">
        <f t="shared" si="5"/>
        <v>0</v>
      </c>
      <c r="H193" s="252"/>
      <c r="I193" s="252"/>
      <c r="J193" s="252"/>
      <c r="K193" s="252"/>
      <c r="L193" s="252">
        <v>5470</v>
      </c>
      <c r="M193" s="252"/>
      <c r="N193" s="252">
        <v>5600</v>
      </c>
      <c r="O193" s="252"/>
      <c r="P193" s="252">
        <v>10343</v>
      </c>
      <c r="Q193" s="252">
        <v>14546</v>
      </c>
      <c r="R193" s="252">
        <v>1243</v>
      </c>
      <c r="S193" s="280"/>
      <c r="T193" s="282">
        <v>9898</v>
      </c>
      <c r="U193" s="281">
        <v>9274</v>
      </c>
      <c r="V193" s="252">
        <v>8761</v>
      </c>
      <c r="W193" s="252">
        <v>2649</v>
      </c>
      <c r="X193" s="252"/>
      <c r="Y193" s="252"/>
      <c r="Z193" s="252">
        <v>53</v>
      </c>
      <c r="AA193" s="252">
        <v>11043</v>
      </c>
      <c r="AB193" s="252">
        <v>3429</v>
      </c>
      <c r="AC193" s="252">
        <v>65</v>
      </c>
      <c r="AD193" s="252">
        <v>476</v>
      </c>
      <c r="AE193" s="252">
        <v>8821</v>
      </c>
      <c r="AF193" s="252">
        <v>2997</v>
      </c>
      <c r="AG193" s="252">
        <v>27620</v>
      </c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</row>
    <row r="194" spans="1:50" s="176" customFormat="1" ht="16.5" thickBot="1" x14ac:dyDescent="0.3">
      <c r="A194" s="152" t="s">
        <v>373</v>
      </c>
      <c r="B194" s="155" t="s">
        <v>377</v>
      </c>
      <c r="C194" s="238">
        <v>0</v>
      </c>
      <c r="D194" s="145"/>
      <c r="E194" s="233">
        <v>90000</v>
      </c>
      <c r="F194" s="198">
        <f t="shared" si="4"/>
        <v>90000.000000000015</v>
      </c>
      <c r="G194" s="260">
        <f t="shared" si="5"/>
        <v>0</v>
      </c>
      <c r="H194" s="252"/>
      <c r="I194" s="252"/>
      <c r="J194" s="252"/>
      <c r="K194" s="252"/>
      <c r="L194" s="252">
        <f>4329+3850</f>
        <v>8179</v>
      </c>
      <c r="M194" s="252"/>
      <c r="N194" s="252">
        <v>3849</v>
      </c>
      <c r="O194" s="252">
        <v>3850</v>
      </c>
      <c r="P194" s="252">
        <f>13850+3849</f>
        <v>17699</v>
      </c>
      <c r="Q194" s="252"/>
      <c r="R194" s="252">
        <v>3850</v>
      </c>
      <c r="S194" s="280">
        <f>13849+22465</f>
        <v>36314</v>
      </c>
      <c r="T194" s="285"/>
      <c r="U194" s="281"/>
      <c r="V194" s="252">
        <v>4341</v>
      </c>
      <c r="W194" s="252">
        <f>4588.9+3206.06+4123.04-4123.04</f>
        <v>7794.96</v>
      </c>
      <c r="X194" s="252">
        <v>3222.63</v>
      </c>
      <c r="Y194" s="252">
        <v>900.41</v>
      </c>
      <c r="Z194" s="252"/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</row>
    <row r="195" spans="1:50" x14ac:dyDescent="0.25">
      <c r="B195" s="142"/>
      <c r="C195" s="239"/>
      <c r="D195" s="1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7"/>
      <c r="Q195" s="243"/>
      <c r="R195" s="242"/>
      <c r="S195" s="271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</row>
    <row r="196" spans="1:50" x14ac:dyDescent="0.25">
      <c r="A196" s="186" t="s">
        <v>639</v>
      </c>
      <c r="B196" s="187"/>
      <c r="C196" s="240">
        <f>SUM(C12:C194)</f>
        <v>9945127</v>
      </c>
      <c r="D196" s="187"/>
      <c r="E196" s="244">
        <f>SUM(E12:E194)</f>
        <v>9945127</v>
      </c>
      <c r="F196" s="245">
        <f>SUM(F12:F194)</f>
        <v>9928185.0199999996</v>
      </c>
      <c r="G196" s="245">
        <f>SUM(G12:G194)</f>
        <v>16941.98</v>
      </c>
      <c r="H196" s="245">
        <f t="shared" ref="H196:AX196" si="6">SUM(H12:H195)</f>
        <v>0</v>
      </c>
      <c r="I196" s="245">
        <f t="shared" si="6"/>
        <v>0</v>
      </c>
      <c r="J196" s="245">
        <f t="shared" si="6"/>
        <v>0</v>
      </c>
      <c r="K196" s="245">
        <f t="shared" si="6"/>
        <v>152</v>
      </c>
      <c r="L196" s="245">
        <f t="shared" si="6"/>
        <v>65733</v>
      </c>
      <c r="M196" s="245">
        <f t="shared" si="6"/>
        <v>137896</v>
      </c>
      <c r="N196" s="245">
        <f>SUM(N12:N195)</f>
        <v>341821</v>
      </c>
      <c r="O196" s="245">
        <f t="shared" si="6"/>
        <v>570416</v>
      </c>
      <c r="P196" s="248">
        <f t="shared" si="6"/>
        <v>295746</v>
      </c>
      <c r="Q196" s="245">
        <f t="shared" si="6"/>
        <v>348266</v>
      </c>
      <c r="R196" s="245">
        <f t="shared" si="6"/>
        <v>666646</v>
      </c>
      <c r="S196" s="272">
        <f t="shared" si="6"/>
        <v>1379273.24</v>
      </c>
      <c r="T196" s="245">
        <f t="shared" si="6"/>
        <v>580063.84</v>
      </c>
      <c r="U196" s="245">
        <f t="shared" si="6"/>
        <v>203197.86999999997</v>
      </c>
      <c r="V196" s="245">
        <f t="shared" si="6"/>
        <v>198507.02</v>
      </c>
      <c r="W196" s="245">
        <f t="shared" si="6"/>
        <v>363136.52</v>
      </c>
      <c r="X196" s="245">
        <f t="shared" si="6"/>
        <v>880776.28000000014</v>
      </c>
      <c r="Y196" s="245">
        <f t="shared" si="6"/>
        <v>374469.18999999994</v>
      </c>
      <c r="Z196" s="245">
        <f t="shared" si="6"/>
        <v>759916.92000000016</v>
      </c>
      <c r="AA196" s="245">
        <f t="shared" si="6"/>
        <v>461308.97000000003</v>
      </c>
      <c r="AB196" s="245">
        <f t="shared" si="6"/>
        <v>286633.36999999994</v>
      </c>
      <c r="AC196" s="245">
        <f t="shared" si="6"/>
        <v>284112.76</v>
      </c>
      <c r="AD196" s="245">
        <f t="shared" si="6"/>
        <v>254888.45999999996</v>
      </c>
      <c r="AE196" s="245">
        <f t="shared" si="6"/>
        <v>558483.33000000007</v>
      </c>
      <c r="AF196" s="245">
        <f t="shared" si="6"/>
        <v>16838.86</v>
      </c>
      <c r="AG196" s="245">
        <f t="shared" si="6"/>
        <v>32213.010000000002</v>
      </c>
      <c r="AH196" s="245">
        <f t="shared" si="6"/>
        <v>8741</v>
      </c>
      <c r="AI196" s="245">
        <f t="shared" si="6"/>
        <v>26792.94</v>
      </c>
      <c r="AJ196" s="245">
        <f t="shared" si="6"/>
        <v>736361.55999999994</v>
      </c>
      <c r="AK196" s="245">
        <f t="shared" si="6"/>
        <v>21653</v>
      </c>
      <c r="AL196" s="245">
        <f t="shared" si="6"/>
        <v>10773.34</v>
      </c>
      <c r="AM196" s="245">
        <f t="shared" si="6"/>
        <v>7975.6</v>
      </c>
      <c r="AN196" s="245">
        <f t="shared" si="6"/>
        <v>1838.5</v>
      </c>
      <c r="AO196" s="245">
        <f t="shared" si="6"/>
        <v>41776.44</v>
      </c>
      <c r="AP196" s="245">
        <f t="shared" si="6"/>
        <v>10000</v>
      </c>
      <c r="AQ196" s="245">
        <f t="shared" si="6"/>
        <v>1777</v>
      </c>
      <c r="AR196" s="245"/>
      <c r="AS196" s="245"/>
      <c r="AT196" s="245"/>
      <c r="AU196" s="245"/>
      <c r="AV196" s="245"/>
      <c r="AW196" s="245">
        <f t="shared" si="6"/>
        <v>0</v>
      </c>
      <c r="AX196" s="245">
        <f t="shared" si="6"/>
        <v>0</v>
      </c>
    </row>
    <row r="197" spans="1:50" x14ac:dyDescent="0.25">
      <c r="B197" s="142"/>
      <c r="C197" s="181"/>
      <c r="D197" s="142"/>
      <c r="E197" s="181"/>
    </row>
    <row r="198" spans="1:50" x14ac:dyDescent="0.25">
      <c r="B198" s="142"/>
      <c r="C198" s="181"/>
      <c r="D198" s="142"/>
      <c r="E198" s="181"/>
    </row>
    <row r="199" spans="1:50" x14ac:dyDescent="0.25">
      <c r="B199" s="142"/>
      <c r="C199" s="181"/>
      <c r="D199" s="142"/>
      <c r="E199" s="181"/>
      <c r="N199" s="188">
        <f>341821-N196</f>
        <v>0</v>
      </c>
      <c r="R199" s="242"/>
      <c r="S199" s="271"/>
      <c r="T199" s="242"/>
    </row>
    <row r="200" spans="1:50" x14ac:dyDescent="0.25">
      <c r="B200" s="142"/>
      <c r="C200" s="181"/>
      <c r="D200" s="142"/>
      <c r="E200" s="181"/>
      <c r="T200" s="242"/>
    </row>
    <row r="201" spans="1:50" x14ac:dyDescent="0.25">
      <c r="B201" s="142"/>
      <c r="C201" s="181"/>
      <c r="D201" s="142"/>
      <c r="E201" s="181"/>
    </row>
    <row r="202" spans="1:50" x14ac:dyDescent="0.25">
      <c r="B202" s="142"/>
      <c r="C202" s="181"/>
      <c r="D202" s="142"/>
      <c r="E202" s="181"/>
      <c r="T202" s="242"/>
    </row>
    <row r="203" spans="1:50" x14ac:dyDescent="0.25">
      <c r="B203" s="142"/>
      <c r="C203" s="181"/>
      <c r="D203" s="142"/>
      <c r="E203" s="181"/>
      <c r="M203" s="188">
        <f>137896-M196</f>
        <v>0</v>
      </c>
    </row>
    <row r="204" spans="1:50" x14ac:dyDescent="0.25">
      <c r="B204" s="142"/>
      <c r="C204" s="181"/>
      <c r="D204" s="142"/>
      <c r="E204" s="181"/>
    </row>
    <row r="205" spans="1:50" x14ac:dyDescent="0.25">
      <c r="B205" s="142"/>
      <c r="C205" s="181"/>
      <c r="D205" s="142"/>
      <c r="E205" s="181"/>
    </row>
    <row r="206" spans="1:50" x14ac:dyDescent="0.25">
      <c r="B206" s="142"/>
      <c r="C206" s="181"/>
      <c r="D206" s="142"/>
      <c r="E206" s="181"/>
    </row>
    <row r="207" spans="1:50" x14ac:dyDescent="0.25">
      <c r="B207" s="142"/>
      <c r="C207" s="181"/>
      <c r="D207" s="142"/>
      <c r="E207" s="181"/>
    </row>
    <row r="208" spans="1:50" x14ac:dyDescent="0.25">
      <c r="B208" s="142"/>
      <c r="C208" s="181"/>
      <c r="D208" s="142"/>
      <c r="E208" s="181"/>
    </row>
    <row r="209" spans="2:5" x14ac:dyDescent="0.25">
      <c r="B209" s="142"/>
      <c r="C209" s="181"/>
      <c r="D209" s="142"/>
      <c r="E209" s="181"/>
    </row>
    <row r="210" spans="2:5" x14ac:dyDescent="0.25">
      <c r="B210" s="142"/>
      <c r="C210" s="181"/>
      <c r="D210" s="142"/>
      <c r="E210" s="181"/>
    </row>
    <row r="211" spans="2:5" x14ac:dyDescent="0.25">
      <c r="B211" s="142"/>
      <c r="C211" s="181"/>
      <c r="D211" s="142"/>
      <c r="E211" s="181"/>
    </row>
    <row r="212" spans="2:5" x14ac:dyDescent="0.25">
      <c r="B212" s="142"/>
      <c r="C212" s="181"/>
      <c r="D212" s="142"/>
      <c r="E212" s="181"/>
    </row>
    <row r="213" spans="2:5" x14ac:dyDescent="0.25">
      <c r="B213" s="142"/>
      <c r="C213" s="181"/>
      <c r="D213" s="142"/>
      <c r="E213" s="181"/>
    </row>
    <row r="214" spans="2:5" x14ac:dyDescent="0.25">
      <c r="B214" s="142"/>
      <c r="C214" s="181"/>
      <c r="D214" s="142"/>
      <c r="E214" s="181"/>
    </row>
    <row r="215" spans="2:5" x14ac:dyDescent="0.25">
      <c r="B215" s="142"/>
      <c r="C215" s="181"/>
      <c r="D215" s="142"/>
      <c r="E215" s="181"/>
    </row>
    <row r="216" spans="2:5" x14ac:dyDescent="0.25">
      <c r="B216" s="142"/>
      <c r="C216" s="181"/>
      <c r="D216" s="142"/>
      <c r="E216" s="181"/>
    </row>
    <row r="217" spans="2:5" x14ac:dyDescent="0.25">
      <c r="B217" s="142"/>
      <c r="C217" s="181"/>
      <c r="D217" s="142"/>
      <c r="E217" s="181"/>
    </row>
    <row r="218" spans="2:5" x14ac:dyDescent="0.25">
      <c r="B218" s="142"/>
      <c r="C218" s="181"/>
      <c r="D218" s="142"/>
      <c r="E218" s="181"/>
    </row>
    <row r="219" spans="2:5" x14ac:dyDescent="0.25">
      <c r="B219" s="142"/>
      <c r="C219" s="181"/>
      <c r="D219" s="142"/>
      <c r="E219" s="181"/>
    </row>
    <row r="220" spans="2:5" x14ac:dyDescent="0.25">
      <c r="B220" s="142"/>
      <c r="C220" s="181"/>
      <c r="D220" s="142"/>
      <c r="E220" s="181"/>
    </row>
    <row r="221" spans="2:5" x14ac:dyDescent="0.25">
      <c r="B221" s="142"/>
      <c r="C221" s="181"/>
      <c r="D221" s="142"/>
      <c r="E221" s="181"/>
    </row>
    <row r="222" spans="2:5" x14ac:dyDescent="0.25">
      <c r="B222" s="142"/>
      <c r="C222" s="181"/>
      <c r="D222" s="142"/>
      <c r="E222" s="181"/>
    </row>
    <row r="223" spans="2:5" x14ac:dyDescent="0.25">
      <c r="B223" s="142"/>
      <c r="C223" s="181"/>
      <c r="D223" s="142"/>
      <c r="E223" s="181"/>
    </row>
    <row r="224" spans="2:5" x14ac:dyDescent="0.25">
      <c r="B224" s="142"/>
      <c r="C224" s="181"/>
      <c r="D224" s="142"/>
      <c r="E224" s="181"/>
    </row>
    <row r="225" spans="2:5" x14ac:dyDescent="0.25">
      <c r="B225" s="142"/>
      <c r="C225" s="181"/>
      <c r="D225" s="142"/>
      <c r="E225" s="181"/>
    </row>
    <row r="226" spans="2:5" x14ac:dyDescent="0.25">
      <c r="B226" s="142"/>
      <c r="C226" s="181"/>
      <c r="D226" s="142"/>
      <c r="E226" s="181"/>
    </row>
    <row r="227" spans="2:5" x14ac:dyDescent="0.25">
      <c r="B227" s="142"/>
      <c r="C227" s="181"/>
      <c r="D227" s="142"/>
      <c r="E227" s="181"/>
    </row>
    <row r="228" spans="2:5" x14ac:dyDescent="0.25">
      <c r="B228" s="142"/>
      <c r="C228" s="181"/>
      <c r="D228" s="142"/>
      <c r="E228" s="181"/>
    </row>
    <row r="229" spans="2:5" x14ac:dyDescent="0.25">
      <c r="B229" s="142"/>
      <c r="C229" s="181"/>
      <c r="D229" s="142"/>
      <c r="E229" s="181"/>
    </row>
    <row r="230" spans="2:5" x14ac:dyDescent="0.25">
      <c r="B230" s="142"/>
      <c r="C230" s="181"/>
      <c r="D230" s="142"/>
      <c r="E230" s="181"/>
    </row>
    <row r="231" spans="2:5" x14ac:dyDescent="0.25">
      <c r="B231" s="142"/>
      <c r="C231" s="181"/>
      <c r="D231" s="142"/>
      <c r="E231" s="181"/>
    </row>
    <row r="232" spans="2:5" x14ac:dyDescent="0.25">
      <c r="B232" s="142"/>
      <c r="C232" s="181"/>
      <c r="D232" s="142"/>
      <c r="E232" s="181"/>
    </row>
    <row r="233" spans="2:5" x14ac:dyDescent="0.25">
      <c r="B233" s="142"/>
      <c r="C233" s="181"/>
      <c r="D233" s="142"/>
      <c r="E233" s="181"/>
    </row>
  </sheetData>
  <sheetProtection algorithmName="SHA-512" hashValue="I7AGUrl4QsNWR88ArGDmXgopqhYLcLoj4wIyjk0QLeGWWEQ91yupQ+z8HuH4k907ATFqHNSW9pKHpqw0YXMT+Q==" saltValue="LPMnkdMjYn1ohU4x9Tr4BQ==" spinCount="100000" sheet="1" objects="1" scenarios="1"/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66CCFF"/>
  </sheetPr>
  <dimension ref="A1:AX53"/>
  <sheetViews>
    <sheetView workbookViewId="0">
      <pane xSplit="7" ySplit="11" topLeftCell="AT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T4" sqref="AT4"/>
    </sheetView>
  </sheetViews>
  <sheetFormatPr defaultColWidth="9.140625" defaultRowHeight="15" x14ac:dyDescent="0.25"/>
  <cols>
    <col min="1" max="1" width="9.140625" style="126"/>
    <col min="2" max="2" width="33" style="8" bestFit="1" customWidth="1"/>
    <col min="3" max="3" width="15.28515625" style="8" customWidth="1"/>
    <col min="4" max="4" width="15.28515625" style="117" customWidth="1"/>
    <col min="5" max="6" width="15.28515625" style="8" customWidth="1"/>
    <col min="7" max="7" width="38.28515625" style="8" customWidth="1"/>
    <col min="8" max="16" width="15.7109375" style="8" customWidth="1"/>
    <col min="17" max="17" width="15.7109375" style="101" customWidth="1"/>
    <col min="18" max="34" width="15.7109375" style="8" customWidth="1"/>
    <col min="35" max="50" width="16" style="8" customWidth="1"/>
    <col min="51" max="16384" width="9.140625" style="8"/>
  </cols>
  <sheetData>
    <row r="1" spans="1:50" s="69" customFormat="1" ht="21" x14ac:dyDescent="0.35">
      <c r="A1" s="130" t="s">
        <v>0</v>
      </c>
      <c r="B1" s="71"/>
      <c r="C1" s="130" t="s">
        <v>599</v>
      </c>
      <c r="D1" s="110"/>
      <c r="E1" s="130"/>
      <c r="F1" s="70"/>
      <c r="G1" s="70"/>
      <c r="H1" s="73"/>
      <c r="I1" s="73"/>
      <c r="J1" s="130" t="str">
        <f>C1</f>
        <v>Title V-B Formula</v>
      </c>
      <c r="K1" s="130"/>
      <c r="L1" s="70"/>
      <c r="M1" s="70"/>
      <c r="N1" s="70"/>
      <c r="O1" s="70"/>
      <c r="P1" s="130" t="str">
        <f>C1</f>
        <v>Title V-B Formula</v>
      </c>
      <c r="Q1" s="104"/>
      <c r="R1" s="130"/>
      <c r="S1" s="130"/>
      <c r="T1" s="70"/>
      <c r="U1" s="70"/>
      <c r="V1" s="130" t="str">
        <f>C1</f>
        <v>Title V-B Formula</v>
      </c>
      <c r="W1" s="70"/>
      <c r="X1" s="73"/>
      <c r="Y1" s="73"/>
      <c r="Z1" s="130"/>
      <c r="AA1" s="130"/>
      <c r="AB1" s="130" t="str">
        <f>C1</f>
        <v>Title V-B Formula</v>
      </c>
      <c r="AC1" s="70"/>
      <c r="AD1" s="70"/>
      <c r="AE1" s="70"/>
      <c r="AF1" s="130" t="str">
        <f>C1</f>
        <v>Title V-B Formula</v>
      </c>
      <c r="AG1" s="73"/>
      <c r="AH1" s="130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</row>
    <row r="2" spans="1:50" s="69" customFormat="1" ht="15.75" x14ac:dyDescent="0.25">
      <c r="A2" s="131" t="s">
        <v>1</v>
      </c>
      <c r="B2" s="71"/>
      <c r="C2" s="75" t="s">
        <v>600</v>
      </c>
      <c r="D2" s="111"/>
      <c r="E2" s="75"/>
      <c r="F2" s="74"/>
      <c r="G2" s="74"/>
      <c r="H2" s="73"/>
      <c r="I2" s="73"/>
      <c r="J2" s="74" t="str">
        <f>"FY"&amp;C4</f>
        <v>FY2018-2019</v>
      </c>
      <c r="K2" s="74"/>
      <c r="L2" s="131"/>
      <c r="M2" s="131"/>
      <c r="N2" s="74"/>
      <c r="O2" s="74"/>
      <c r="P2" s="74" t="str">
        <f>"FY"&amp;C4</f>
        <v>FY2018-2019</v>
      </c>
      <c r="Q2" s="105"/>
      <c r="R2" s="74"/>
      <c r="S2" s="74"/>
      <c r="T2" s="131"/>
      <c r="U2" s="131"/>
      <c r="V2" s="74" t="str">
        <f>"FY"&amp;C4</f>
        <v>FY2018-2019</v>
      </c>
      <c r="W2" s="74"/>
      <c r="X2" s="74"/>
      <c r="Y2" s="74"/>
      <c r="Z2" s="74"/>
      <c r="AA2" s="74"/>
      <c r="AB2" s="74" t="str">
        <f>"FY"&amp;C4</f>
        <v>FY2018-2019</v>
      </c>
      <c r="AC2" s="131"/>
      <c r="AD2" s="74"/>
      <c r="AE2" s="74"/>
      <c r="AF2" s="74" t="str">
        <f>"FY"&amp;C4</f>
        <v>FY2018-2019</v>
      </c>
      <c r="AG2" s="74"/>
      <c r="AH2" s="74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</row>
    <row r="3" spans="1:50" s="69" customFormat="1" ht="15.75" x14ac:dyDescent="0.25">
      <c r="A3" s="131" t="s">
        <v>3</v>
      </c>
      <c r="B3" s="71"/>
      <c r="C3" s="131">
        <v>6358</v>
      </c>
      <c r="D3" s="112"/>
      <c r="E3" s="131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104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</row>
    <row r="4" spans="1:50" s="69" customFormat="1" ht="21" x14ac:dyDescent="0.35">
      <c r="A4" s="131" t="s">
        <v>2</v>
      </c>
      <c r="B4" s="71"/>
      <c r="C4" s="130" t="s">
        <v>620</v>
      </c>
      <c r="D4" s="112"/>
      <c r="E4" s="131"/>
      <c r="F4" s="74"/>
      <c r="G4" s="74"/>
      <c r="H4" s="73"/>
      <c r="I4" s="73"/>
      <c r="J4" s="73"/>
      <c r="K4" s="73"/>
      <c r="L4" s="73"/>
      <c r="M4" s="73"/>
      <c r="N4" s="73"/>
      <c r="O4" s="73"/>
      <c r="P4" s="73"/>
      <c r="Q4" s="10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</row>
    <row r="5" spans="1:50" s="69" customFormat="1" ht="15.75" x14ac:dyDescent="0.25">
      <c r="A5" s="131" t="s">
        <v>397</v>
      </c>
      <c r="B5" s="71"/>
      <c r="C5" s="74" t="s">
        <v>660</v>
      </c>
      <c r="D5" s="113"/>
      <c r="E5" s="74"/>
      <c r="F5" s="74"/>
      <c r="G5" s="77"/>
      <c r="H5" s="77"/>
      <c r="I5" s="77"/>
      <c r="J5" s="77"/>
      <c r="K5" s="77"/>
      <c r="L5" s="77"/>
      <c r="M5" s="77"/>
      <c r="N5" s="77"/>
      <c r="O5" s="77"/>
      <c r="P5" s="77"/>
      <c r="Q5" s="106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</row>
    <row r="6" spans="1:50" s="69" customFormat="1" ht="15.75" x14ac:dyDescent="0.25">
      <c r="A6" s="131" t="s">
        <v>4</v>
      </c>
      <c r="B6" s="71"/>
      <c r="C6" s="74" t="s">
        <v>365</v>
      </c>
      <c r="D6" s="113"/>
      <c r="E6" s="74"/>
      <c r="F6" s="74"/>
      <c r="G6" s="77"/>
      <c r="H6" s="77"/>
      <c r="I6" s="77"/>
      <c r="J6" s="77"/>
      <c r="K6" s="77"/>
      <c r="L6" s="77"/>
      <c r="M6" s="77"/>
      <c r="N6" s="77"/>
      <c r="O6" s="77"/>
      <c r="P6" s="77"/>
      <c r="Q6" s="106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</row>
    <row r="7" spans="1:50" s="69" customFormat="1" ht="15.75" x14ac:dyDescent="0.25">
      <c r="A7" s="131"/>
      <c r="B7" s="71"/>
      <c r="C7" s="74"/>
      <c r="D7" s="113"/>
      <c r="E7" s="74"/>
      <c r="F7" s="74"/>
      <c r="G7" s="77"/>
      <c r="H7" s="77"/>
      <c r="I7" s="77"/>
      <c r="J7" s="77"/>
      <c r="K7" s="77"/>
      <c r="L7" s="77"/>
      <c r="M7" s="77"/>
      <c r="N7" s="77"/>
      <c r="O7" s="77"/>
      <c r="P7" s="77"/>
      <c r="Q7" s="10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</row>
    <row r="8" spans="1:50" s="69" customFormat="1" ht="15.75" x14ac:dyDescent="0.25">
      <c r="A8" s="131" t="s">
        <v>379</v>
      </c>
      <c r="B8" s="71"/>
      <c r="C8" s="74" t="s">
        <v>607</v>
      </c>
      <c r="D8" s="113"/>
      <c r="E8" s="74"/>
      <c r="F8" s="74"/>
      <c r="G8" s="77"/>
      <c r="H8" s="77"/>
      <c r="I8" s="77"/>
      <c r="J8" s="77"/>
      <c r="K8" s="77"/>
      <c r="L8" s="77"/>
      <c r="M8" s="77"/>
      <c r="N8" s="77"/>
      <c r="O8" s="77"/>
      <c r="P8" s="77"/>
      <c r="Q8" s="106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</row>
    <row r="9" spans="1:50" s="69" customFormat="1" ht="15.75" x14ac:dyDescent="0.25">
      <c r="A9" s="131" t="s">
        <v>380</v>
      </c>
      <c r="B9" s="71"/>
      <c r="C9" s="74" t="s">
        <v>381</v>
      </c>
      <c r="D9" s="113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77"/>
      <c r="Q9" s="10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</row>
    <row r="10" spans="1:50" s="69" customFormat="1" ht="16.5" thickBot="1" x14ac:dyDescent="0.3">
      <c r="A10" s="131" t="s">
        <v>398</v>
      </c>
      <c r="B10" s="71"/>
      <c r="C10" s="74" t="s">
        <v>676</v>
      </c>
      <c r="D10" s="113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06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</row>
    <row r="11" spans="1:50" s="41" customFormat="1" ht="48.75" customHeight="1" thickBot="1" x14ac:dyDescent="0.3">
      <c r="A11" s="122" t="s">
        <v>366</v>
      </c>
      <c r="B11" s="94" t="s">
        <v>367</v>
      </c>
      <c r="C11" s="94" t="s">
        <v>368</v>
      </c>
      <c r="D11" s="114" t="s">
        <v>655</v>
      </c>
      <c r="E11" s="46" t="s">
        <v>646</v>
      </c>
      <c r="F11" s="48" t="s">
        <v>369</v>
      </c>
      <c r="G11" s="55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650</v>
      </c>
      <c r="AJ11" s="107" t="s">
        <v>651</v>
      </c>
      <c r="AK11" s="107" t="s">
        <v>652</v>
      </c>
      <c r="AL11" s="107" t="s">
        <v>662</v>
      </c>
      <c r="AM11" s="107" t="s">
        <v>663</v>
      </c>
      <c r="AN11" s="107" t="s">
        <v>664</v>
      </c>
      <c r="AO11" s="107" t="s">
        <v>665</v>
      </c>
      <c r="AP11" s="107" t="s">
        <v>666</v>
      </c>
      <c r="AQ11" s="107" t="s">
        <v>667</v>
      </c>
      <c r="AR11" s="107" t="s">
        <v>669</v>
      </c>
      <c r="AS11" s="107" t="s">
        <v>670</v>
      </c>
      <c r="AT11" s="107" t="s">
        <v>671</v>
      </c>
      <c r="AU11" s="107" t="s">
        <v>674</v>
      </c>
      <c r="AV11" s="107" t="s">
        <v>675</v>
      </c>
      <c r="AW11" s="107" t="s">
        <v>653</v>
      </c>
      <c r="AX11" s="107" t="s">
        <v>654</v>
      </c>
    </row>
    <row r="12" spans="1:50" s="4" customFormat="1" ht="18" customHeight="1" thickBot="1" x14ac:dyDescent="0.35">
      <c r="A12" s="109" t="s">
        <v>14</v>
      </c>
      <c r="B12" s="109" t="s">
        <v>192</v>
      </c>
      <c r="C12" s="246">
        <v>42510</v>
      </c>
      <c r="D12" s="109"/>
      <c r="E12" s="198">
        <v>42510</v>
      </c>
      <c r="F12" s="198">
        <f>SUM(H12:AV12)</f>
        <v>42510</v>
      </c>
      <c r="G12" s="198">
        <f>E12-(F12+AW12+AX12)</f>
        <v>0</v>
      </c>
      <c r="H12" s="241"/>
      <c r="I12" s="241"/>
      <c r="J12" s="241"/>
      <c r="K12" s="241"/>
      <c r="L12" s="241"/>
      <c r="M12" s="241"/>
      <c r="N12" s="241">
        <f>179+2072</f>
        <v>2251</v>
      </c>
      <c r="O12" s="241">
        <v>4151</v>
      </c>
      <c r="P12" s="241">
        <v>4977</v>
      </c>
      <c r="Q12" s="241">
        <v>4280</v>
      </c>
      <c r="R12" s="286">
        <v>4151</v>
      </c>
      <c r="S12" s="241">
        <v>4317</v>
      </c>
      <c r="T12" s="241">
        <v>4091</v>
      </c>
      <c r="U12" s="287">
        <v>3853</v>
      </c>
      <c r="V12" s="241">
        <v>3853</v>
      </c>
      <c r="W12" s="241">
        <v>4542.93</v>
      </c>
      <c r="X12" s="241">
        <v>2043.07</v>
      </c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</row>
    <row r="13" spans="1:50" s="4" customFormat="1" ht="18" customHeight="1" thickBot="1" x14ac:dyDescent="0.35">
      <c r="A13" s="109" t="s">
        <v>23</v>
      </c>
      <c r="B13" s="109" t="s">
        <v>201</v>
      </c>
      <c r="C13" s="246">
        <v>9425</v>
      </c>
      <c r="D13" s="109"/>
      <c r="E13" s="198">
        <v>9425</v>
      </c>
      <c r="F13" s="198">
        <f t="shared" ref="F13:F38" si="0">SUM(H13:AV13)</f>
        <v>9425</v>
      </c>
      <c r="G13" s="198">
        <f t="shared" ref="G13:G38" si="1">E13-(F13+AW13+AX13)</f>
        <v>0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86"/>
      <c r="S13" s="241"/>
      <c r="T13" s="241"/>
      <c r="U13" s="241"/>
      <c r="V13" s="241">
        <v>9425</v>
      </c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</row>
    <row r="14" spans="1:50" s="4" customFormat="1" ht="18" customHeight="1" thickBot="1" x14ac:dyDescent="0.35">
      <c r="A14" s="109" t="s">
        <v>29</v>
      </c>
      <c r="B14" s="109" t="s">
        <v>207</v>
      </c>
      <c r="C14" s="246">
        <v>10481</v>
      </c>
      <c r="D14" s="109"/>
      <c r="E14" s="198">
        <v>10481</v>
      </c>
      <c r="F14" s="198">
        <f t="shared" si="0"/>
        <v>10481</v>
      </c>
      <c r="G14" s="198">
        <f t="shared" si="1"/>
        <v>0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86">
        <v>5117</v>
      </c>
      <c r="S14" s="241">
        <v>5364</v>
      </c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</row>
    <row r="15" spans="1:50" ht="16.5" thickBot="1" x14ac:dyDescent="0.3">
      <c r="A15" s="109" t="s">
        <v>38</v>
      </c>
      <c r="B15" s="109" t="s">
        <v>216</v>
      </c>
      <c r="C15" s="246">
        <v>17305</v>
      </c>
      <c r="D15" s="109"/>
      <c r="E15" s="198">
        <v>17305</v>
      </c>
      <c r="F15" s="198">
        <f t="shared" si="0"/>
        <v>17305</v>
      </c>
      <c r="G15" s="198">
        <f t="shared" si="1"/>
        <v>0</v>
      </c>
      <c r="H15" s="241"/>
      <c r="I15" s="241"/>
      <c r="J15" s="241"/>
      <c r="K15" s="241"/>
      <c r="L15" s="241">
        <v>3248</v>
      </c>
      <c r="M15" s="241">
        <v>2000</v>
      </c>
      <c r="N15" s="241"/>
      <c r="O15" s="241">
        <v>5762</v>
      </c>
      <c r="P15" s="241"/>
      <c r="Q15" s="241"/>
      <c r="R15" s="286">
        <v>2209</v>
      </c>
      <c r="S15" s="241"/>
      <c r="T15" s="241"/>
      <c r="U15" s="241"/>
      <c r="V15" s="241">
        <v>701.5</v>
      </c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>
        <v>3384.47</v>
      </c>
      <c r="AI15" s="241"/>
      <c r="AJ15" s="241"/>
      <c r="AK15" s="241">
        <v>0.03</v>
      </c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</row>
    <row r="16" spans="1:50" ht="16.5" thickBot="1" x14ac:dyDescent="0.3">
      <c r="A16" s="109" t="s">
        <v>40</v>
      </c>
      <c r="B16" s="109" t="s">
        <v>218</v>
      </c>
      <c r="C16" s="246">
        <v>3969</v>
      </c>
      <c r="D16" s="109"/>
      <c r="E16" s="198">
        <v>3969</v>
      </c>
      <c r="F16" s="198">
        <f t="shared" si="0"/>
        <v>3969</v>
      </c>
      <c r="G16" s="198">
        <f t="shared" si="1"/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86"/>
      <c r="S16" s="241"/>
      <c r="T16" s="241"/>
      <c r="U16" s="241"/>
      <c r="V16" s="241"/>
      <c r="W16" s="241"/>
      <c r="X16" s="241"/>
      <c r="Y16" s="241"/>
      <c r="Z16" s="241">
        <v>1740</v>
      </c>
      <c r="AA16" s="241">
        <v>460</v>
      </c>
      <c r="AB16" s="241"/>
      <c r="AC16" s="241">
        <v>1220</v>
      </c>
      <c r="AD16" s="241"/>
      <c r="AE16" s="241">
        <v>540</v>
      </c>
      <c r="AF16" s="241"/>
      <c r="AG16" s="241"/>
      <c r="AH16" s="241"/>
      <c r="AI16" s="241">
        <v>9</v>
      </c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</row>
    <row r="17" spans="1:50" ht="16.5" thickBot="1" x14ac:dyDescent="0.3">
      <c r="A17" s="109" t="s">
        <v>41</v>
      </c>
      <c r="B17" s="109" t="s">
        <v>219</v>
      </c>
      <c r="C17" s="246">
        <v>1858</v>
      </c>
      <c r="D17" s="109"/>
      <c r="E17" s="198">
        <v>1858</v>
      </c>
      <c r="F17" s="198">
        <f t="shared" si="0"/>
        <v>1858</v>
      </c>
      <c r="G17" s="198">
        <f t="shared" si="1"/>
        <v>0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86"/>
      <c r="S17" s="241">
        <v>1858</v>
      </c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</row>
    <row r="18" spans="1:50" ht="16.5" thickBot="1" x14ac:dyDescent="0.3">
      <c r="A18" s="109" t="s">
        <v>42</v>
      </c>
      <c r="B18" s="109" t="s">
        <v>220</v>
      </c>
      <c r="C18" s="246">
        <v>4673</v>
      </c>
      <c r="D18" s="109"/>
      <c r="E18" s="198">
        <v>4673</v>
      </c>
      <c r="F18" s="198">
        <f t="shared" si="0"/>
        <v>4673</v>
      </c>
      <c r="G18" s="198">
        <f t="shared" si="1"/>
        <v>0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86"/>
      <c r="S18" s="241"/>
      <c r="T18" s="241">
        <v>547</v>
      </c>
      <c r="U18" s="241"/>
      <c r="V18" s="241"/>
      <c r="W18" s="241"/>
      <c r="X18" s="241"/>
      <c r="Y18" s="241"/>
      <c r="Z18" s="241"/>
      <c r="AA18" s="241"/>
      <c r="AB18" s="241"/>
      <c r="AC18" s="241"/>
      <c r="AD18" s="241">
        <v>1678</v>
      </c>
      <c r="AE18" s="241">
        <v>2448</v>
      </c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</row>
    <row r="19" spans="1:50" ht="16.5" thickBot="1" x14ac:dyDescent="0.3">
      <c r="A19" s="109" t="s">
        <v>45</v>
      </c>
      <c r="B19" s="109" t="s">
        <v>223</v>
      </c>
      <c r="C19" s="246">
        <v>90514</v>
      </c>
      <c r="D19" s="109"/>
      <c r="E19" s="198">
        <v>90514</v>
      </c>
      <c r="F19" s="198">
        <f t="shared" si="0"/>
        <v>90514</v>
      </c>
      <c r="G19" s="198">
        <f t="shared" si="1"/>
        <v>0</v>
      </c>
      <c r="H19" s="241"/>
      <c r="I19" s="241"/>
      <c r="J19" s="241"/>
      <c r="K19" s="241"/>
      <c r="L19" s="241"/>
      <c r="M19" s="241"/>
      <c r="N19" s="241"/>
      <c r="O19" s="241"/>
      <c r="P19" s="241">
        <v>33532</v>
      </c>
      <c r="Q19" s="241">
        <v>4947</v>
      </c>
      <c r="R19" s="286">
        <v>8644</v>
      </c>
      <c r="S19" s="241">
        <v>8353</v>
      </c>
      <c r="T19" s="241"/>
      <c r="U19" s="241"/>
      <c r="V19" s="241"/>
      <c r="W19" s="241"/>
      <c r="X19" s="241"/>
      <c r="Y19" s="241"/>
      <c r="Z19" s="241"/>
      <c r="AA19" s="241"/>
      <c r="AB19" s="241">
        <v>34490.83</v>
      </c>
      <c r="AC19" s="241">
        <v>547.16999999999996</v>
      </c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</row>
    <row r="20" spans="1:50" ht="16.5" thickBot="1" x14ac:dyDescent="0.3">
      <c r="A20" s="109" t="s">
        <v>70</v>
      </c>
      <c r="B20" s="109" t="s">
        <v>248</v>
      </c>
      <c r="C20" s="246">
        <v>64782</v>
      </c>
      <c r="D20" s="109"/>
      <c r="E20" s="198">
        <v>64782</v>
      </c>
      <c r="F20" s="198">
        <f t="shared" si="0"/>
        <v>64782</v>
      </c>
      <c r="G20" s="198">
        <f t="shared" si="1"/>
        <v>0</v>
      </c>
      <c r="H20" s="241"/>
      <c r="I20" s="241"/>
      <c r="J20" s="241"/>
      <c r="K20" s="241"/>
      <c r="L20" s="241"/>
      <c r="M20" s="241"/>
      <c r="N20" s="241">
        <v>18348</v>
      </c>
      <c r="O20" s="241"/>
      <c r="P20" s="241"/>
      <c r="Q20" s="241"/>
      <c r="R20" s="286"/>
      <c r="S20" s="241">
        <f>8572+5100</f>
        <v>13672</v>
      </c>
      <c r="T20" s="241"/>
      <c r="U20" s="241">
        <v>6082</v>
      </c>
      <c r="V20" s="241"/>
      <c r="W20" s="241"/>
      <c r="X20" s="241"/>
      <c r="Y20" s="241"/>
      <c r="Z20" s="241"/>
      <c r="AA20" s="241"/>
      <c r="AB20" s="241">
        <v>26680</v>
      </c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</row>
    <row r="21" spans="1:50" ht="16.5" thickBot="1" x14ac:dyDescent="0.3">
      <c r="A21" s="109" t="s">
        <v>80</v>
      </c>
      <c r="B21" s="109" t="s">
        <v>258</v>
      </c>
      <c r="C21" s="246">
        <v>1916</v>
      </c>
      <c r="D21" s="109"/>
      <c r="E21" s="198">
        <v>1916</v>
      </c>
      <c r="F21" s="198">
        <f t="shared" si="0"/>
        <v>1916</v>
      </c>
      <c r="G21" s="198">
        <f t="shared" si="1"/>
        <v>0</v>
      </c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86">
        <v>1916</v>
      </c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</row>
    <row r="22" spans="1:50" ht="16.5" thickBot="1" x14ac:dyDescent="0.3">
      <c r="A22" s="109" t="s">
        <v>81</v>
      </c>
      <c r="B22" s="109" t="s">
        <v>259</v>
      </c>
      <c r="C22" s="246">
        <v>9699</v>
      </c>
      <c r="D22" s="109"/>
      <c r="E22" s="198">
        <v>9699</v>
      </c>
      <c r="F22" s="198">
        <f t="shared" si="0"/>
        <v>9699</v>
      </c>
      <c r="G22" s="198">
        <f t="shared" si="1"/>
        <v>0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86"/>
      <c r="S22" s="241">
        <f>1469</f>
        <v>1469</v>
      </c>
      <c r="T22" s="241"/>
      <c r="U22" s="241"/>
      <c r="V22" s="241"/>
      <c r="W22" s="241"/>
      <c r="X22" s="241"/>
      <c r="Y22" s="241"/>
      <c r="Z22" s="241"/>
      <c r="AA22" s="241">
        <v>670.19</v>
      </c>
      <c r="AB22" s="241"/>
      <c r="AC22" s="241"/>
      <c r="AD22" s="241"/>
      <c r="AE22" s="241">
        <v>670.14</v>
      </c>
      <c r="AF22" s="241"/>
      <c r="AG22" s="241"/>
      <c r="AH22" s="241"/>
      <c r="AI22" s="241">
        <v>449.52</v>
      </c>
      <c r="AJ22" s="241">
        <v>6440.15</v>
      </c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</row>
    <row r="23" spans="1:50" ht="16.5" thickBot="1" x14ac:dyDescent="0.3">
      <c r="A23" s="109" t="s">
        <v>82</v>
      </c>
      <c r="B23" s="109" t="s">
        <v>260</v>
      </c>
      <c r="C23" s="246">
        <v>0</v>
      </c>
      <c r="D23" s="109"/>
      <c r="E23" s="198">
        <f>C23+C29</f>
        <v>2268</v>
      </c>
      <c r="F23" s="198">
        <f t="shared" si="0"/>
        <v>2268</v>
      </c>
      <c r="G23" s="198">
        <f t="shared" si="1"/>
        <v>0</v>
      </c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86"/>
      <c r="S23" s="241"/>
      <c r="T23" s="241">
        <v>2268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</row>
    <row r="24" spans="1:50" ht="16.5" thickBot="1" x14ac:dyDescent="0.3">
      <c r="A24" s="109" t="s">
        <v>86</v>
      </c>
      <c r="B24" s="109" t="s">
        <v>264</v>
      </c>
      <c r="C24" s="246">
        <v>1193</v>
      </c>
      <c r="D24" s="109"/>
      <c r="E24" s="198">
        <v>1193</v>
      </c>
      <c r="F24" s="198">
        <f t="shared" si="0"/>
        <v>1193</v>
      </c>
      <c r="G24" s="198">
        <f t="shared" si="1"/>
        <v>0</v>
      </c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86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>
        <v>1193</v>
      </c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</row>
    <row r="25" spans="1:50" ht="16.5" thickBot="1" x14ac:dyDescent="0.3">
      <c r="A25" s="109" t="s">
        <v>92</v>
      </c>
      <c r="B25" s="109" t="s">
        <v>270</v>
      </c>
      <c r="C25" s="246">
        <v>15721</v>
      </c>
      <c r="D25" s="109"/>
      <c r="E25" s="198">
        <v>15721</v>
      </c>
      <c r="F25" s="198">
        <f t="shared" si="0"/>
        <v>15721</v>
      </c>
      <c r="G25" s="198">
        <f t="shared" si="1"/>
        <v>0</v>
      </c>
      <c r="H25" s="241"/>
      <c r="I25" s="241"/>
      <c r="J25" s="241"/>
      <c r="K25" s="241"/>
      <c r="L25" s="241"/>
      <c r="M25" s="241">
        <v>4176</v>
      </c>
      <c r="N25" s="241"/>
      <c r="O25" s="241">
        <v>5156</v>
      </c>
      <c r="P25" s="241"/>
      <c r="Q25" s="241"/>
      <c r="R25" s="286"/>
      <c r="S25" s="241">
        <v>6389</v>
      </c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</row>
    <row r="26" spans="1:50" ht="16.5" thickBot="1" x14ac:dyDescent="0.3">
      <c r="A26" s="109" t="s">
        <v>98</v>
      </c>
      <c r="B26" s="109" t="s">
        <v>276</v>
      </c>
      <c r="C26" s="246">
        <v>20571</v>
      </c>
      <c r="D26" s="109"/>
      <c r="E26" s="198">
        <v>20571</v>
      </c>
      <c r="F26" s="198">
        <f t="shared" si="0"/>
        <v>9475.36</v>
      </c>
      <c r="G26" s="198">
        <f t="shared" si="1"/>
        <v>11095.64</v>
      </c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86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>
        <v>9475.36</v>
      </c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</row>
    <row r="27" spans="1:50" ht="16.5" thickBot="1" x14ac:dyDescent="0.3">
      <c r="A27" s="109" t="s">
        <v>99</v>
      </c>
      <c r="B27" s="109" t="s">
        <v>277</v>
      </c>
      <c r="C27" s="246">
        <v>4967</v>
      </c>
      <c r="D27" s="109"/>
      <c r="E27" s="198">
        <v>4967</v>
      </c>
      <c r="F27" s="198">
        <f t="shared" si="0"/>
        <v>4967</v>
      </c>
      <c r="G27" s="198">
        <f t="shared" si="1"/>
        <v>0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86"/>
      <c r="S27" s="241"/>
      <c r="T27" s="241"/>
      <c r="U27" s="241"/>
      <c r="V27" s="241"/>
      <c r="W27" s="241"/>
      <c r="X27" s="241"/>
      <c r="Y27" s="241"/>
      <c r="Z27" s="241"/>
      <c r="AA27" s="241">
        <v>946.6</v>
      </c>
      <c r="AB27" s="241">
        <v>29.3</v>
      </c>
      <c r="AC27" s="241"/>
      <c r="AD27" s="241">
        <v>3991.1</v>
      </c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</row>
    <row r="28" spans="1:50" ht="16.5" thickBot="1" x14ac:dyDescent="0.3">
      <c r="A28" s="109" t="s">
        <v>100</v>
      </c>
      <c r="B28" s="109" t="s">
        <v>278</v>
      </c>
      <c r="C28" s="246">
        <v>3520</v>
      </c>
      <c r="D28" s="109"/>
      <c r="E28" s="198">
        <v>3520</v>
      </c>
      <c r="F28" s="198">
        <f t="shared" si="0"/>
        <v>3520</v>
      </c>
      <c r="G28" s="198">
        <f t="shared" si="1"/>
        <v>0</v>
      </c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86">
        <v>3520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</row>
    <row r="29" spans="1:50" ht="16.5" thickBot="1" x14ac:dyDescent="0.3">
      <c r="A29" s="109" t="s">
        <v>102</v>
      </c>
      <c r="B29" s="109" t="s">
        <v>280</v>
      </c>
      <c r="C29" s="246">
        <v>2268</v>
      </c>
      <c r="D29" s="109" t="s">
        <v>82</v>
      </c>
      <c r="E29" s="198">
        <v>0</v>
      </c>
      <c r="F29" s="198">
        <f t="shared" si="0"/>
        <v>0</v>
      </c>
      <c r="G29" s="198">
        <f t="shared" si="1"/>
        <v>0</v>
      </c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</row>
    <row r="30" spans="1:50" ht="16.5" thickBot="1" x14ac:dyDescent="0.3">
      <c r="A30" s="109" t="s">
        <v>117</v>
      </c>
      <c r="B30" s="109" t="s">
        <v>295</v>
      </c>
      <c r="C30" s="246">
        <v>49451</v>
      </c>
      <c r="D30" s="109"/>
      <c r="E30" s="198">
        <v>49451</v>
      </c>
      <c r="F30" s="198">
        <f t="shared" si="0"/>
        <v>49451</v>
      </c>
      <c r="G30" s="198">
        <f t="shared" si="1"/>
        <v>0</v>
      </c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v>26306</v>
      </c>
      <c r="R30" s="241">
        <v>246</v>
      </c>
      <c r="S30" s="241">
        <v>276</v>
      </c>
      <c r="T30" s="241">
        <v>14771</v>
      </c>
      <c r="U30" s="241"/>
      <c r="V30" s="241"/>
      <c r="W30" s="241">
        <v>5787.5</v>
      </c>
      <c r="X30" s="241"/>
      <c r="Y30" s="241"/>
      <c r="Z30" s="241">
        <v>2064.5</v>
      </c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</row>
    <row r="31" spans="1:50" ht="16.5" thickBot="1" x14ac:dyDescent="0.3">
      <c r="A31" s="109" t="s">
        <v>120</v>
      </c>
      <c r="B31" s="109" t="s">
        <v>298</v>
      </c>
      <c r="C31" s="246">
        <v>116560</v>
      </c>
      <c r="D31" s="109"/>
      <c r="E31" s="198">
        <v>116560</v>
      </c>
      <c r="F31" s="198">
        <f t="shared" si="0"/>
        <v>116559.62</v>
      </c>
      <c r="G31" s="198">
        <f t="shared" si="1"/>
        <v>0.38000000000465661</v>
      </c>
      <c r="H31" s="241"/>
      <c r="I31" s="241"/>
      <c r="J31" s="241"/>
      <c r="K31" s="241"/>
      <c r="L31" s="241"/>
      <c r="M31" s="241"/>
      <c r="N31" s="241">
        <v>52354</v>
      </c>
      <c r="O31" s="241">
        <v>17562</v>
      </c>
      <c r="P31" s="241">
        <v>6746</v>
      </c>
      <c r="Q31" s="241"/>
      <c r="R31" s="241">
        <v>4810</v>
      </c>
      <c r="S31" s="241">
        <v>10040</v>
      </c>
      <c r="T31" s="241">
        <v>17289.62</v>
      </c>
      <c r="U31" s="241"/>
      <c r="V31" s="241"/>
      <c r="W31" s="241"/>
      <c r="X31" s="241"/>
      <c r="Y31" s="241"/>
      <c r="Z31" s="241">
        <v>7758</v>
      </c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</row>
    <row r="32" spans="1:50" ht="16.5" thickBot="1" x14ac:dyDescent="0.3">
      <c r="A32" s="109" t="s">
        <v>126</v>
      </c>
      <c r="B32" s="109" t="s">
        <v>304</v>
      </c>
      <c r="C32" s="246">
        <v>23543</v>
      </c>
      <c r="D32" s="109"/>
      <c r="E32" s="198">
        <v>23543</v>
      </c>
      <c r="F32" s="198">
        <f t="shared" si="0"/>
        <v>23543</v>
      </c>
      <c r="G32" s="198">
        <f t="shared" si="1"/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>
        <v>1072</v>
      </c>
      <c r="T32" s="241"/>
      <c r="U32" s="241"/>
      <c r="V32" s="241"/>
      <c r="W32" s="241"/>
      <c r="X32" s="241"/>
      <c r="Y32" s="241"/>
      <c r="Z32" s="241"/>
      <c r="AA32" s="241"/>
      <c r="AB32" s="241"/>
      <c r="AC32" s="241">
        <v>4908</v>
      </c>
      <c r="AD32" s="241"/>
      <c r="AE32" s="241">
        <v>17563</v>
      </c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</row>
    <row r="33" spans="1:50" ht="16.5" thickBot="1" x14ac:dyDescent="0.3">
      <c r="A33" s="109" t="s">
        <v>127</v>
      </c>
      <c r="B33" s="109" t="s">
        <v>305</v>
      </c>
      <c r="C33" s="246">
        <v>15056</v>
      </c>
      <c r="D33" s="109"/>
      <c r="E33" s="198">
        <v>15056</v>
      </c>
      <c r="F33" s="198">
        <f t="shared" si="0"/>
        <v>15056</v>
      </c>
      <c r="G33" s="198">
        <f t="shared" si="1"/>
        <v>0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86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>
        <v>15056</v>
      </c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</row>
    <row r="34" spans="1:50" ht="16.5" thickBot="1" x14ac:dyDescent="0.3">
      <c r="A34" s="109" t="s">
        <v>128</v>
      </c>
      <c r="B34" s="109" t="s">
        <v>306</v>
      </c>
      <c r="C34" s="246">
        <v>2425</v>
      </c>
      <c r="D34" s="109"/>
      <c r="E34" s="198">
        <v>2425</v>
      </c>
      <c r="F34" s="198">
        <f t="shared" si="0"/>
        <v>2425</v>
      </c>
      <c r="G34" s="198">
        <f t="shared" si="1"/>
        <v>0</v>
      </c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86"/>
      <c r="S34" s="241">
        <v>2425</v>
      </c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</row>
    <row r="35" spans="1:50" ht="16.5" thickBot="1" x14ac:dyDescent="0.3">
      <c r="A35" s="109" t="s">
        <v>139</v>
      </c>
      <c r="B35" s="109" t="s">
        <v>317</v>
      </c>
      <c r="C35" s="246">
        <v>3754</v>
      </c>
      <c r="D35" s="109"/>
      <c r="E35" s="198">
        <v>3754</v>
      </c>
      <c r="F35" s="198">
        <f t="shared" si="0"/>
        <v>3754</v>
      </c>
      <c r="G35" s="198">
        <f t="shared" si="1"/>
        <v>0</v>
      </c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86"/>
      <c r="S35" s="241"/>
      <c r="T35" s="241">
        <v>3754</v>
      </c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</row>
    <row r="36" spans="1:50" ht="16.5" thickBot="1" x14ac:dyDescent="0.3">
      <c r="A36" s="109" t="s">
        <v>140</v>
      </c>
      <c r="B36" s="109" t="s">
        <v>318</v>
      </c>
      <c r="C36" s="246">
        <v>28959</v>
      </c>
      <c r="D36" s="109"/>
      <c r="E36" s="198">
        <v>28959</v>
      </c>
      <c r="F36" s="198">
        <f t="shared" si="0"/>
        <v>28959</v>
      </c>
      <c r="G36" s="198">
        <f t="shared" si="1"/>
        <v>0</v>
      </c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86"/>
      <c r="S36" s="241"/>
      <c r="T36" s="241"/>
      <c r="U36" s="241"/>
      <c r="V36" s="241"/>
      <c r="W36" s="241"/>
      <c r="X36" s="241"/>
      <c r="Y36" s="241">
        <f>4788+4794</f>
        <v>9582</v>
      </c>
      <c r="Z36" s="241">
        <v>4789</v>
      </c>
      <c r="AA36" s="241">
        <v>4648</v>
      </c>
      <c r="AB36" s="241">
        <v>4788</v>
      </c>
      <c r="AC36" s="241">
        <v>4788</v>
      </c>
      <c r="AD36" s="241">
        <v>364</v>
      </c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</row>
    <row r="37" spans="1:50" ht="16.5" thickBot="1" x14ac:dyDescent="0.3">
      <c r="A37" s="109" t="s">
        <v>148</v>
      </c>
      <c r="B37" s="109" t="s">
        <v>326</v>
      </c>
      <c r="C37" s="246">
        <v>20688</v>
      </c>
      <c r="D37" s="109"/>
      <c r="E37" s="198">
        <v>20688</v>
      </c>
      <c r="F37" s="198">
        <f t="shared" si="0"/>
        <v>20688</v>
      </c>
      <c r="G37" s="198">
        <f t="shared" si="1"/>
        <v>0</v>
      </c>
      <c r="H37" s="241"/>
      <c r="I37" s="241"/>
      <c r="J37" s="241"/>
      <c r="K37" s="241"/>
      <c r="L37" s="241"/>
      <c r="M37" s="241"/>
      <c r="N37" s="241"/>
      <c r="O37" s="241"/>
      <c r="P37" s="241">
        <v>1299</v>
      </c>
      <c r="Q37" s="241">
        <v>2731</v>
      </c>
      <c r="R37" s="286">
        <v>2728</v>
      </c>
      <c r="S37" s="241">
        <v>2732</v>
      </c>
      <c r="T37" s="241">
        <v>5309</v>
      </c>
      <c r="U37" s="241">
        <v>2746</v>
      </c>
      <c r="V37" s="241">
        <v>1700</v>
      </c>
      <c r="W37" s="241">
        <v>1000</v>
      </c>
      <c r="X37" s="241">
        <v>443</v>
      </c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</row>
    <row r="38" spans="1:50" ht="16.5" thickBot="1" x14ac:dyDescent="0.3">
      <c r="A38" s="109" t="s">
        <v>158</v>
      </c>
      <c r="B38" s="109" t="s">
        <v>336</v>
      </c>
      <c r="C38" s="246">
        <v>4849</v>
      </c>
      <c r="D38" s="109"/>
      <c r="E38" s="198">
        <v>4849</v>
      </c>
      <c r="F38" s="198">
        <f t="shared" si="0"/>
        <v>4849</v>
      </c>
      <c r="G38" s="198">
        <f t="shared" si="1"/>
        <v>0</v>
      </c>
      <c r="H38" s="241"/>
      <c r="I38" s="241"/>
      <c r="J38" s="241"/>
      <c r="K38" s="241"/>
      <c r="L38" s="241"/>
      <c r="M38" s="241"/>
      <c r="N38" s="241"/>
      <c r="O38" s="241"/>
      <c r="P38" s="241"/>
      <c r="Q38" s="241">
        <v>4849</v>
      </c>
      <c r="R38" s="286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</row>
    <row r="39" spans="1:50" ht="16.5" thickBot="1" x14ac:dyDescent="0.3">
      <c r="C39" s="247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1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ht="15.75" thickBot="1" x14ac:dyDescent="0.3">
      <c r="A40" s="195" t="s">
        <v>639</v>
      </c>
      <c r="B40" s="196"/>
      <c r="C40" s="248">
        <f>SUM(C12:C38)</f>
        <v>570657</v>
      </c>
      <c r="D40" s="196"/>
      <c r="E40" s="245">
        <f>SUM(E12:E38)</f>
        <v>570657</v>
      </c>
      <c r="F40" s="245">
        <f>SUM(F12:F38)</f>
        <v>559560.98</v>
      </c>
      <c r="G40" s="245">
        <f>E40-(F40+AW40+AX40)</f>
        <v>11096.020000000019</v>
      </c>
      <c r="H40" s="245">
        <f t="shared" ref="H40:AX40" si="2">SUM(H12:H38)</f>
        <v>0</v>
      </c>
      <c r="I40" s="245">
        <f t="shared" si="2"/>
        <v>0</v>
      </c>
      <c r="J40" s="245">
        <f t="shared" si="2"/>
        <v>0</v>
      </c>
      <c r="K40" s="245">
        <f t="shared" si="2"/>
        <v>0</v>
      </c>
      <c r="L40" s="245">
        <f t="shared" si="2"/>
        <v>3248</v>
      </c>
      <c r="M40" s="245">
        <f t="shared" si="2"/>
        <v>6176</v>
      </c>
      <c r="N40" s="245">
        <f t="shared" si="2"/>
        <v>72953</v>
      </c>
      <c r="O40" s="245">
        <f t="shared" si="2"/>
        <v>32631</v>
      </c>
      <c r="P40" s="245">
        <f t="shared" si="2"/>
        <v>46554</v>
      </c>
      <c r="Q40" s="249">
        <f>SUM(Q12:Q38)</f>
        <v>43113</v>
      </c>
      <c r="R40" s="249">
        <f>SUM(R12:R38)</f>
        <v>33341</v>
      </c>
      <c r="S40" s="245">
        <f t="shared" si="2"/>
        <v>57967</v>
      </c>
      <c r="T40" s="245">
        <f t="shared" si="2"/>
        <v>48029.619999999995</v>
      </c>
      <c r="U40" s="245">
        <f>SUM(U12:U38)</f>
        <v>12681</v>
      </c>
      <c r="V40" s="245">
        <f t="shared" si="2"/>
        <v>15679.5</v>
      </c>
      <c r="W40" s="245">
        <f t="shared" si="2"/>
        <v>11330.43</v>
      </c>
      <c r="X40" s="245">
        <f t="shared" si="2"/>
        <v>2486.0699999999997</v>
      </c>
      <c r="Y40" s="245">
        <f t="shared" si="2"/>
        <v>9582</v>
      </c>
      <c r="Z40" s="245">
        <f t="shared" si="2"/>
        <v>16351.5</v>
      </c>
      <c r="AA40" s="245">
        <f t="shared" si="2"/>
        <v>6724.79</v>
      </c>
      <c r="AB40" s="245">
        <f t="shared" si="2"/>
        <v>65988.13</v>
      </c>
      <c r="AC40" s="245">
        <f t="shared" si="2"/>
        <v>11463.17</v>
      </c>
      <c r="AD40" s="245">
        <f t="shared" si="2"/>
        <v>21089.1</v>
      </c>
      <c r="AE40" s="245">
        <f t="shared" si="2"/>
        <v>22414.14</v>
      </c>
      <c r="AF40" s="245">
        <f t="shared" si="2"/>
        <v>0</v>
      </c>
      <c r="AG40" s="245">
        <f t="shared" si="2"/>
        <v>0</v>
      </c>
      <c r="AH40" s="245">
        <f t="shared" si="2"/>
        <v>3384.47</v>
      </c>
      <c r="AI40" s="245">
        <f t="shared" si="2"/>
        <v>9933.880000000001</v>
      </c>
      <c r="AJ40" s="245">
        <f t="shared" si="2"/>
        <v>6440.15</v>
      </c>
      <c r="AK40" s="245">
        <f t="shared" si="2"/>
        <v>0.03</v>
      </c>
      <c r="AL40" s="245">
        <f t="shared" si="2"/>
        <v>0</v>
      </c>
      <c r="AM40" s="245">
        <f t="shared" si="2"/>
        <v>0</v>
      </c>
      <c r="AN40" s="245">
        <f t="shared" si="2"/>
        <v>0</v>
      </c>
      <c r="AO40" s="245">
        <f t="shared" si="2"/>
        <v>0</v>
      </c>
      <c r="AP40" s="245">
        <f t="shared" si="2"/>
        <v>0</v>
      </c>
      <c r="AQ40" s="245">
        <f t="shared" si="2"/>
        <v>0</v>
      </c>
      <c r="AR40" s="245"/>
      <c r="AS40" s="245"/>
      <c r="AT40" s="245"/>
      <c r="AU40" s="245"/>
      <c r="AV40" s="245"/>
      <c r="AW40" s="245">
        <f t="shared" si="2"/>
        <v>0</v>
      </c>
      <c r="AX40" s="245">
        <f t="shared" si="2"/>
        <v>0</v>
      </c>
    </row>
    <row r="41" spans="1:50" ht="16.5" thickBot="1" x14ac:dyDescent="0.3">
      <c r="R41" s="241"/>
    </row>
    <row r="42" spans="1:50" ht="16.5" thickBot="1" x14ac:dyDescent="0.3">
      <c r="R42" s="241"/>
    </row>
    <row r="43" spans="1:50" ht="16.5" thickBot="1" x14ac:dyDescent="0.3">
      <c r="R43" s="241"/>
    </row>
    <row r="44" spans="1:50" ht="16.5" thickBot="1" x14ac:dyDescent="0.3">
      <c r="R44" s="241"/>
    </row>
    <row r="45" spans="1:50" ht="16.5" thickBot="1" x14ac:dyDescent="0.3">
      <c r="R45" s="241">
        <f>F40-238016</f>
        <v>321544.98</v>
      </c>
    </row>
    <row r="46" spans="1:50" ht="16.5" thickBot="1" x14ac:dyDescent="0.3">
      <c r="R46" s="241"/>
    </row>
    <row r="47" spans="1:50" ht="16.5" thickBot="1" x14ac:dyDescent="0.3">
      <c r="R47" s="241"/>
    </row>
    <row r="48" spans="1:50" ht="16.5" thickBot="1" x14ac:dyDescent="0.3">
      <c r="R48" s="241"/>
    </row>
    <row r="49" spans="18:18" ht="16.5" thickBot="1" x14ac:dyDescent="0.3">
      <c r="R49" s="241"/>
    </row>
    <row r="50" spans="18:18" ht="16.5" thickBot="1" x14ac:dyDescent="0.3">
      <c r="R50" s="241"/>
    </row>
    <row r="51" spans="18:18" ht="16.5" thickBot="1" x14ac:dyDescent="0.3">
      <c r="R51" s="241"/>
    </row>
    <row r="52" spans="18:18" ht="16.5" thickBot="1" x14ac:dyDescent="0.3">
      <c r="R52" s="241"/>
    </row>
    <row r="53" spans="18:18" ht="16.5" thickBot="1" x14ac:dyDescent="0.3">
      <c r="R53" s="241"/>
    </row>
  </sheetData>
  <sheetProtection algorithmName="SHA-512" hashValue="ZOZJaYVzyb//KzBy5GQ5QEvmqwwxaZLJi7E1zV5IFlqjj44WkTEzQndnvfah+4O3q+ruffCe/2G6AcLt14TbaA==" saltValue="r05A5eQQraDAQDC0OF4HN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ESSA Title I-A Formula</vt:lpstr>
      <vt:lpstr>ESSA Title I-Delinquent</vt:lpstr>
      <vt:lpstr>StateAgenciesTitle I-Delinquent</vt:lpstr>
      <vt:lpstr>ESSA Title II-A Formula</vt:lpstr>
      <vt:lpstr>ESSA Title III-ELL </vt:lpstr>
      <vt:lpstr>ESSA Title III SAI</vt:lpstr>
      <vt:lpstr>Title IV</vt:lpstr>
      <vt:lpstr>ESSA Title V-B</vt:lpstr>
      <vt:lpstr>NCLB Allocations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Kaleda, Steven</cp:lastModifiedBy>
  <cp:lastPrinted>2018-08-31T15:15:52Z</cp:lastPrinted>
  <dcterms:created xsi:type="dcterms:W3CDTF">2011-11-14T17:06:02Z</dcterms:created>
  <dcterms:modified xsi:type="dcterms:W3CDTF">2021-12-14T22:06:03Z</dcterms:modified>
</cp:coreProperties>
</file>