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1AF000E7-E955-4CCE-8676-E59E8B3C7FB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4" r:id="rId1"/>
    <sheet name="ESSER III Funding" sheetId="1" r:id="rId2"/>
    <sheet name="ESSER III Supplemental" sheetId="5" r:id="rId3"/>
    <sheet name="Supplemental ESSER (5425)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1" i="1" l="1"/>
  <c r="Y187" i="1"/>
  <c r="Y124" i="1"/>
  <c r="Y118" i="1"/>
  <c r="Y62" i="1"/>
  <c r="Y41" i="1"/>
  <c r="Y23" i="1"/>
  <c r="Y17" i="1"/>
  <c r="Y15" i="1"/>
  <c r="Y14" i="1"/>
  <c r="Y13" i="1"/>
  <c r="Y11" i="1"/>
  <c r="Y177" i="1"/>
  <c r="Y170" i="1"/>
  <c r="Y68" i="1"/>
  <c r="Y50" i="1"/>
  <c r="Y38" i="1"/>
  <c r="Y22" i="1"/>
  <c r="C186" i="5"/>
  <c r="X191" i="1"/>
  <c r="X107" i="1"/>
  <c r="E112" i="5"/>
  <c r="E104" i="5"/>
  <c r="W27" i="1"/>
  <c r="V129" i="1"/>
  <c r="V93" i="1" l="1"/>
  <c r="V168" i="1"/>
  <c r="V153" i="1"/>
  <c r="V146" i="1"/>
  <c r="V59" i="1"/>
  <c r="V50" i="1"/>
  <c r="V16" i="1"/>
  <c r="V12" i="1"/>
  <c r="N53" i="5"/>
  <c r="O53" i="5"/>
  <c r="P53" i="5"/>
  <c r="H53" i="5"/>
  <c r="I53" i="5"/>
  <c r="J53" i="5"/>
  <c r="K53" i="5"/>
  <c r="L53" i="5"/>
  <c r="M53" i="5"/>
  <c r="H77" i="5"/>
  <c r="I77" i="5"/>
  <c r="J77" i="5"/>
  <c r="K77" i="5"/>
  <c r="L77" i="5"/>
  <c r="M77" i="5"/>
  <c r="N77" i="5"/>
  <c r="O77" i="5"/>
  <c r="P77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H144" i="5"/>
  <c r="V164" i="1"/>
  <c r="V162" i="1"/>
  <c r="V151" i="1"/>
  <c r="V67" i="1"/>
  <c r="V54" i="1"/>
  <c r="V41" i="1"/>
  <c r="V38" i="1"/>
  <c r="V36" i="1"/>
  <c r="V27" i="1"/>
  <c r="V21" i="1"/>
  <c r="U140" i="1"/>
  <c r="U38" i="1" l="1"/>
  <c r="U27" i="1"/>
  <c r="U26" i="1"/>
  <c r="U12" i="1"/>
  <c r="U191" i="1" s="1"/>
  <c r="V191" i="1"/>
  <c r="W191" i="1"/>
  <c r="T182" i="1"/>
  <c r="T18" i="1"/>
  <c r="T96" i="1"/>
  <c r="T36" i="1"/>
  <c r="T27" i="1"/>
  <c r="T12" i="1"/>
  <c r="E175" i="5"/>
  <c r="S118" i="1"/>
  <c r="S173" i="1"/>
  <c r="S131" i="1"/>
  <c r="S85" i="1"/>
  <c r="R20" i="1"/>
  <c r="R14" i="1"/>
  <c r="R11" i="1"/>
  <c r="F11" i="1" s="1"/>
  <c r="Q173" i="1"/>
  <c r="D183" i="5"/>
  <c r="C183" i="5"/>
  <c r="D178" i="5"/>
  <c r="C178" i="5"/>
  <c r="D144" i="5"/>
  <c r="C144" i="5"/>
  <c r="F56" i="5"/>
  <c r="F57" i="5"/>
  <c r="F58" i="5"/>
  <c r="F59" i="5"/>
  <c r="F60" i="5"/>
  <c r="C77" i="5"/>
  <c r="E57" i="5"/>
  <c r="E58" i="5"/>
  <c r="E59" i="5"/>
  <c r="E60" i="5"/>
  <c r="E56" i="5"/>
  <c r="E15" i="5"/>
  <c r="F182" i="5"/>
  <c r="E182" i="5"/>
  <c r="F181" i="5"/>
  <c r="F183" i="5" s="1"/>
  <c r="E181" i="5"/>
  <c r="E183" i="5" s="1"/>
  <c r="F177" i="5"/>
  <c r="E177" i="5"/>
  <c r="F176" i="5"/>
  <c r="G176" i="5" s="1"/>
  <c r="E176" i="5"/>
  <c r="F175" i="5"/>
  <c r="F174" i="5"/>
  <c r="F173" i="5"/>
  <c r="E173" i="5"/>
  <c r="F172" i="5"/>
  <c r="E172" i="5"/>
  <c r="F171" i="5"/>
  <c r="F170" i="5"/>
  <c r="E170" i="5"/>
  <c r="F169" i="5"/>
  <c r="E169" i="5"/>
  <c r="F168" i="5"/>
  <c r="E168" i="5"/>
  <c r="F167" i="5"/>
  <c r="E167" i="5"/>
  <c r="F166" i="5"/>
  <c r="E166" i="5"/>
  <c r="F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F154" i="5"/>
  <c r="E154" i="5"/>
  <c r="F153" i="5"/>
  <c r="E153" i="5"/>
  <c r="F152" i="5"/>
  <c r="E152" i="5"/>
  <c r="F151" i="5"/>
  <c r="F150" i="5"/>
  <c r="F149" i="5"/>
  <c r="E149" i="5"/>
  <c r="F148" i="5"/>
  <c r="E148" i="5"/>
  <c r="F147" i="5"/>
  <c r="E147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4" i="5"/>
  <c r="E13" i="5"/>
  <c r="E12" i="5"/>
  <c r="P123" i="1"/>
  <c r="P100" i="1"/>
  <c r="P85" i="1"/>
  <c r="P23" i="1"/>
  <c r="O56" i="1"/>
  <c r="O36" i="1"/>
  <c r="O26" i="1"/>
  <c r="N171" i="1"/>
  <c r="N158" i="1"/>
  <c r="N62" i="1"/>
  <c r="E11" i="1"/>
  <c r="K186" i="5" l="1"/>
  <c r="E178" i="5"/>
  <c r="F178" i="5"/>
  <c r="F144" i="5"/>
  <c r="E144" i="5"/>
  <c r="G59" i="5"/>
  <c r="G60" i="5"/>
  <c r="G58" i="5"/>
  <c r="E77" i="5"/>
  <c r="F77" i="5"/>
  <c r="G152" i="5"/>
  <c r="G57" i="5"/>
  <c r="G56" i="5"/>
  <c r="G116" i="5"/>
  <c r="G120" i="5"/>
  <c r="G128" i="5"/>
  <c r="G167" i="5"/>
  <c r="G182" i="5"/>
  <c r="G63" i="5"/>
  <c r="G64" i="5"/>
  <c r="G105" i="5"/>
  <c r="G94" i="5"/>
  <c r="G96" i="5"/>
  <c r="G132" i="5"/>
  <c r="G98" i="5"/>
  <c r="G61" i="5"/>
  <c r="G95" i="5"/>
  <c r="G99" i="5"/>
  <c r="G103" i="5"/>
  <c r="G166" i="5"/>
  <c r="G119" i="5"/>
  <c r="G139" i="5"/>
  <c r="G68" i="5"/>
  <c r="G110" i="5"/>
  <c r="G126" i="5"/>
  <c r="G69" i="5"/>
  <c r="G143" i="5"/>
  <c r="G150" i="5"/>
  <c r="G154" i="5"/>
  <c r="G158" i="5"/>
  <c r="G170" i="5"/>
  <c r="G81" i="5"/>
  <c r="G89" i="5"/>
  <c r="G112" i="5"/>
  <c r="G147" i="5"/>
  <c r="G159" i="5"/>
  <c r="G75" i="5"/>
  <c r="G82" i="5"/>
  <c r="G86" i="5"/>
  <c r="G90" i="5"/>
  <c r="G97" i="5"/>
  <c r="G141" i="5"/>
  <c r="G148" i="5"/>
  <c r="G156" i="5"/>
  <c r="G160" i="5"/>
  <c r="G168" i="5"/>
  <c r="G73" i="5"/>
  <c r="G101" i="5"/>
  <c r="G140" i="5"/>
  <c r="G151" i="5"/>
  <c r="G72" i="5"/>
  <c r="G76" i="5"/>
  <c r="G83" i="5"/>
  <c r="G109" i="5"/>
  <c r="G113" i="5"/>
  <c r="G117" i="5"/>
  <c r="G121" i="5"/>
  <c r="G125" i="5"/>
  <c r="G129" i="5"/>
  <c r="G133" i="5"/>
  <c r="G137" i="5"/>
  <c r="G80" i="5"/>
  <c r="G84" i="5"/>
  <c r="G88" i="5"/>
  <c r="G92" i="5"/>
  <c r="G106" i="5"/>
  <c r="G118" i="5"/>
  <c r="G130" i="5"/>
  <c r="G138" i="5"/>
  <c r="G153" i="5"/>
  <c r="G157" i="5"/>
  <c r="G169" i="5"/>
  <c r="G173" i="5"/>
  <c r="G177" i="5"/>
  <c r="G67" i="5"/>
  <c r="G74" i="5"/>
  <c r="G85" i="5"/>
  <c r="G93" i="5"/>
  <c r="G107" i="5"/>
  <c r="G111" i="5"/>
  <c r="G127" i="5"/>
  <c r="G135" i="5"/>
  <c r="G134" i="5"/>
  <c r="G163" i="5"/>
  <c r="G71" i="5"/>
  <c r="G87" i="5"/>
  <c r="G91" i="5"/>
  <c r="G124" i="5"/>
  <c r="G164" i="5"/>
  <c r="G174" i="5"/>
  <c r="G181" i="5"/>
  <c r="G183" i="5" s="1"/>
  <c r="G62" i="5"/>
  <c r="G100" i="5"/>
  <c r="G104" i="5"/>
  <c r="G114" i="5"/>
  <c r="G70" i="5"/>
  <c r="G131" i="5"/>
  <c r="G161" i="5"/>
  <c r="G165" i="5"/>
  <c r="G171" i="5"/>
  <c r="G175" i="5"/>
  <c r="G136" i="5"/>
  <c r="G65" i="5"/>
  <c r="G102" i="5"/>
  <c r="G123" i="5"/>
  <c r="G66" i="5"/>
  <c r="G108" i="5"/>
  <c r="G115" i="5"/>
  <c r="G122" i="5"/>
  <c r="G142" i="5"/>
  <c r="G149" i="5"/>
  <c r="G155" i="5"/>
  <c r="G162" i="5"/>
  <c r="G172" i="5"/>
  <c r="G11" i="1"/>
  <c r="P87" i="3"/>
  <c r="O87" i="3"/>
  <c r="N87" i="3"/>
  <c r="M87" i="3"/>
  <c r="L87" i="3"/>
  <c r="K87" i="3"/>
  <c r="J87" i="3"/>
  <c r="I87" i="3"/>
  <c r="H87" i="3"/>
  <c r="C87" i="3"/>
  <c r="F86" i="3"/>
  <c r="G86" i="3" s="1"/>
  <c r="D200" i="4" s="1"/>
  <c r="E86" i="3"/>
  <c r="F85" i="3"/>
  <c r="E85" i="3"/>
  <c r="G85" i="3" s="1"/>
  <c r="D199" i="4" s="1"/>
  <c r="F84" i="3"/>
  <c r="E84" i="3"/>
  <c r="F83" i="3"/>
  <c r="E83" i="3"/>
  <c r="F82" i="3"/>
  <c r="E82" i="3"/>
  <c r="F81" i="3"/>
  <c r="E81" i="3"/>
  <c r="G81" i="3" s="1"/>
  <c r="D195" i="4" s="1"/>
  <c r="F80" i="3"/>
  <c r="E80" i="3"/>
  <c r="F79" i="3"/>
  <c r="E79" i="3"/>
  <c r="F78" i="3"/>
  <c r="E78" i="3"/>
  <c r="F77" i="3"/>
  <c r="E77" i="3"/>
  <c r="G77" i="3" s="1"/>
  <c r="D191" i="4" s="1"/>
  <c r="F76" i="3"/>
  <c r="E76" i="3"/>
  <c r="F75" i="3"/>
  <c r="E75" i="3"/>
  <c r="G74" i="3"/>
  <c r="D188" i="4" s="1"/>
  <c r="F74" i="3"/>
  <c r="E74" i="3"/>
  <c r="F73" i="3"/>
  <c r="E73" i="3"/>
  <c r="G73" i="3" s="1"/>
  <c r="D187" i="4" s="1"/>
  <c r="F72" i="3"/>
  <c r="E72" i="3"/>
  <c r="F71" i="3"/>
  <c r="E71" i="3"/>
  <c r="F70" i="3"/>
  <c r="E70" i="3"/>
  <c r="G70" i="3" s="1"/>
  <c r="D184" i="4" s="1"/>
  <c r="P68" i="3"/>
  <c r="O68" i="3"/>
  <c r="N68" i="3"/>
  <c r="M68" i="3"/>
  <c r="L68" i="3"/>
  <c r="K68" i="3"/>
  <c r="J68" i="3"/>
  <c r="I68" i="3"/>
  <c r="H68" i="3"/>
  <c r="F68" i="3"/>
  <c r="C68" i="3"/>
  <c r="E67" i="3"/>
  <c r="G67" i="3" s="1"/>
  <c r="D202" i="4" s="1"/>
  <c r="E66" i="3"/>
  <c r="E68" i="3" s="1"/>
  <c r="G68" i="3" s="1"/>
  <c r="P64" i="3"/>
  <c r="O64" i="3"/>
  <c r="O89" i="3" s="1"/>
  <c r="N64" i="3"/>
  <c r="N89" i="3" s="1"/>
  <c r="M64" i="3"/>
  <c r="M89" i="3" s="1"/>
  <c r="L64" i="3"/>
  <c r="K64" i="3"/>
  <c r="K89" i="3" s="1"/>
  <c r="J64" i="3"/>
  <c r="I64" i="3"/>
  <c r="I89" i="3" s="1"/>
  <c r="H64" i="3"/>
  <c r="C64" i="3"/>
  <c r="C89" i="3" s="1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G56" i="3" s="1"/>
  <c r="D164" i="4" s="1"/>
  <c r="F55" i="3"/>
  <c r="E55" i="3"/>
  <c r="F54" i="3"/>
  <c r="E54" i="3"/>
  <c r="G54" i="3" s="1"/>
  <c r="D162" i="4" s="1"/>
  <c r="F53" i="3"/>
  <c r="E53" i="3"/>
  <c r="F52" i="3"/>
  <c r="E52" i="3"/>
  <c r="F51" i="3"/>
  <c r="E51" i="3"/>
  <c r="F50" i="3"/>
  <c r="E50" i="3"/>
  <c r="F49" i="3"/>
  <c r="G49" i="3" s="1"/>
  <c r="D121" i="4" s="1"/>
  <c r="E49" i="3"/>
  <c r="F48" i="3"/>
  <c r="E48" i="3"/>
  <c r="F47" i="3"/>
  <c r="E47" i="3"/>
  <c r="F46" i="3"/>
  <c r="E46" i="3"/>
  <c r="F45" i="3"/>
  <c r="G45" i="3" s="1"/>
  <c r="D114" i="4" s="1"/>
  <c r="E45" i="3"/>
  <c r="F44" i="3"/>
  <c r="E44" i="3"/>
  <c r="F43" i="3"/>
  <c r="E43" i="3"/>
  <c r="F42" i="3"/>
  <c r="E42" i="3"/>
  <c r="F41" i="3"/>
  <c r="G41" i="3" s="1"/>
  <c r="D109" i="4" s="1"/>
  <c r="E41" i="3"/>
  <c r="F40" i="3"/>
  <c r="E40" i="3"/>
  <c r="G40" i="3" s="1"/>
  <c r="D108" i="4" s="1"/>
  <c r="F39" i="3"/>
  <c r="E39" i="3"/>
  <c r="G39" i="3" s="1"/>
  <c r="D106" i="4" s="1"/>
  <c r="F38" i="3"/>
  <c r="E38" i="3"/>
  <c r="G38" i="3" s="1"/>
  <c r="D104" i="4" s="1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G24" i="3" s="1"/>
  <c r="D56" i="4" s="1"/>
  <c r="E24" i="3"/>
  <c r="F23" i="3"/>
  <c r="E23" i="3"/>
  <c r="G23" i="3" s="1"/>
  <c r="D55" i="4" s="1"/>
  <c r="F22" i="3"/>
  <c r="E22" i="3"/>
  <c r="F21" i="3"/>
  <c r="E21" i="3"/>
  <c r="F20" i="3"/>
  <c r="G20" i="3" s="1"/>
  <c r="D43" i="4" s="1"/>
  <c r="F19" i="3"/>
  <c r="E19" i="3"/>
  <c r="G19" i="3" s="1"/>
  <c r="D32" i="4" s="1"/>
  <c r="F18" i="3"/>
  <c r="E18" i="3"/>
  <c r="G18" i="3" s="1"/>
  <c r="D29" i="4" s="1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G178" i="5" l="1"/>
  <c r="L186" i="5"/>
  <c r="G144" i="5"/>
  <c r="G77" i="5"/>
  <c r="G16" i="3"/>
  <c r="D24" i="4" s="1"/>
  <c r="G57" i="3"/>
  <c r="D165" i="4" s="1"/>
  <c r="G52" i="3"/>
  <c r="D156" i="4" s="1"/>
  <c r="F87" i="3"/>
  <c r="G72" i="3"/>
  <c r="D186" i="4" s="1"/>
  <c r="G79" i="3"/>
  <c r="D193" i="4" s="1"/>
  <c r="G36" i="3"/>
  <c r="D100" i="4" s="1"/>
  <c r="G71" i="3"/>
  <c r="D185" i="4" s="1"/>
  <c r="G25" i="3"/>
  <c r="D70" i="4" s="1"/>
  <c r="G29" i="3"/>
  <c r="D82" i="4" s="1"/>
  <c r="G55" i="3"/>
  <c r="D163" i="4" s="1"/>
  <c r="H89" i="3"/>
  <c r="L89" i="3"/>
  <c r="P89" i="3"/>
  <c r="G76" i="3"/>
  <c r="D190" i="4" s="1"/>
  <c r="G78" i="3"/>
  <c r="D192" i="4" s="1"/>
  <c r="G80" i="3"/>
  <c r="D194" i="4" s="1"/>
  <c r="G82" i="3"/>
  <c r="D196" i="4" s="1"/>
  <c r="G84" i="3"/>
  <c r="D198" i="4" s="1"/>
  <c r="G12" i="3"/>
  <c r="D5" i="4" s="1"/>
  <c r="G14" i="3"/>
  <c r="D18" i="4" s="1"/>
  <c r="G27" i="3"/>
  <c r="D72" i="4" s="1"/>
  <c r="G35" i="3"/>
  <c r="D92" i="4" s="1"/>
  <c r="G42" i="3"/>
  <c r="D110" i="4" s="1"/>
  <c r="G44" i="3"/>
  <c r="D113" i="4" s="1"/>
  <c r="G46" i="3"/>
  <c r="D117" i="4" s="1"/>
  <c r="G48" i="3"/>
  <c r="D120" i="4" s="1"/>
  <c r="G50" i="3"/>
  <c r="D141" i="4" s="1"/>
  <c r="G59" i="3"/>
  <c r="D175" i="4" s="1"/>
  <c r="G63" i="3"/>
  <c r="D181" i="4" s="1"/>
  <c r="J89" i="3"/>
  <c r="G26" i="3"/>
  <c r="D71" i="4" s="1"/>
  <c r="G28" i="3"/>
  <c r="D81" i="4" s="1"/>
  <c r="G30" i="3"/>
  <c r="D83" i="4" s="1"/>
  <c r="G32" i="3"/>
  <c r="D87" i="4" s="1"/>
  <c r="G34" i="3"/>
  <c r="D91" i="4" s="1"/>
  <c r="G43" i="3"/>
  <c r="D112" i="4" s="1"/>
  <c r="G47" i="3"/>
  <c r="D119" i="4" s="1"/>
  <c r="G51" i="3"/>
  <c r="D153" i="4" s="1"/>
  <c r="G58" i="3"/>
  <c r="D172" i="4" s="1"/>
  <c r="G60" i="3"/>
  <c r="D176" i="4" s="1"/>
  <c r="G62" i="3"/>
  <c r="D180" i="4" s="1"/>
  <c r="G83" i="3"/>
  <c r="D197" i="4" s="1"/>
  <c r="E87" i="3"/>
  <c r="G75" i="3"/>
  <c r="D189" i="4" s="1"/>
  <c r="G61" i="3"/>
  <c r="D177" i="4" s="1"/>
  <c r="G33" i="3"/>
  <c r="D90" i="4" s="1"/>
  <c r="G13" i="3"/>
  <c r="D17" i="4" s="1"/>
  <c r="G17" i="3"/>
  <c r="D25" i="4" s="1"/>
  <c r="G21" i="3"/>
  <c r="D49" i="4" s="1"/>
  <c r="G37" i="3"/>
  <c r="D101" i="4" s="1"/>
  <c r="G53" i="3"/>
  <c r="D157" i="4" s="1"/>
  <c r="E64" i="3"/>
  <c r="G22" i="3"/>
  <c r="G31" i="3"/>
  <c r="D85" i="4" s="1"/>
  <c r="F64" i="3"/>
  <c r="F89" i="3" s="1"/>
  <c r="G15" i="3"/>
  <c r="D22" i="4" s="1"/>
  <c r="G11" i="3"/>
  <c r="D4" i="4" s="1"/>
  <c r="G66" i="3"/>
  <c r="D201" i="4" s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N186" i="5" l="1"/>
  <c r="M186" i="5"/>
  <c r="G87" i="3"/>
  <c r="E89" i="3"/>
  <c r="G64" i="3"/>
  <c r="G89" i="3" s="1"/>
  <c r="D51" i="4"/>
  <c r="D204" i="4" s="1"/>
  <c r="O186" i="5" l="1"/>
  <c r="D191" i="1"/>
  <c r="C191" i="1"/>
  <c r="F190" i="1"/>
  <c r="E190" i="1"/>
  <c r="G190" i="1" s="1"/>
  <c r="C183" i="4" s="1"/>
  <c r="F189" i="1"/>
  <c r="E189" i="1"/>
  <c r="F188" i="1"/>
  <c r="E188" i="1"/>
  <c r="F187" i="1"/>
  <c r="E187" i="1"/>
  <c r="F186" i="1"/>
  <c r="E186" i="1"/>
  <c r="G186" i="1" s="1"/>
  <c r="C179" i="4" s="1"/>
  <c r="F185" i="1"/>
  <c r="E185" i="1"/>
  <c r="F184" i="1"/>
  <c r="E184" i="1"/>
  <c r="G184" i="1" s="1"/>
  <c r="C177" i="4" s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G174" i="1" s="1"/>
  <c r="C167" i="4" s="1"/>
  <c r="F173" i="1"/>
  <c r="E173" i="1"/>
  <c r="F172" i="1"/>
  <c r="E172" i="1"/>
  <c r="F171" i="1"/>
  <c r="E171" i="1"/>
  <c r="F170" i="1"/>
  <c r="E170" i="1"/>
  <c r="G170" i="1" s="1"/>
  <c r="C163" i="4" s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P186" i="5" l="1"/>
  <c r="G32" i="1"/>
  <c r="C25" i="4" s="1"/>
  <c r="G42" i="1"/>
  <c r="C35" i="4" s="1"/>
  <c r="G46" i="1"/>
  <c r="C39" i="4" s="1"/>
  <c r="G31" i="1"/>
  <c r="C24" i="4" s="1"/>
  <c r="G63" i="1"/>
  <c r="C56" i="4" s="1"/>
  <c r="G73" i="1"/>
  <c r="C66" i="4" s="1"/>
  <c r="G77" i="1"/>
  <c r="C70" i="4" s="1"/>
  <c r="G79" i="1"/>
  <c r="C72" i="4" s="1"/>
  <c r="G81" i="1"/>
  <c r="C74" i="4" s="1"/>
  <c r="G83" i="1"/>
  <c r="C76" i="4" s="1"/>
  <c r="G87" i="1"/>
  <c r="C80" i="4" s="1"/>
  <c r="G89" i="1"/>
  <c r="C82" i="4" s="1"/>
  <c r="G91" i="1"/>
  <c r="C84" i="4" s="1"/>
  <c r="G93" i="1"/>
  <c r="C86" i="4" s="1"/>
  <c r="G105" i="1"/>
  <c r="C98" i="4" s="1"/>
  <c r="G107" i="1"/>
  <c r="C100" i="4" s="1"/>
  <c r="G109" i="1"/>
  <c r="C102" i="4" s="1"/>
  <c r="G111" i="1"/>
  <c r="C104" i="4" s="1"/>
  <c r="G113" i="1"/>
  <c r="C106" i="4" s="1"/>
  <c r="G115" i="1"/>
  <c r="C108" i="4" s="1"/>
  <c r="G117" i="1"/>
  <c r="C110" i="4" s="1"/>
  <c r="G119" i="1"/>
  <c r="C112" i="4" s="1"/>
  <c r="G125" i="1"/>
  <c r="C118" i="4" s="1"/>
  <c r="G137" i="1"/>
  <c r="C130" i="4" s="1"/>
  <c r="G139" i="1"/>
  <c r="C132" i="4" s="1"/>
  <c r="G141" i="1"/>
  <c r="C134" i="4" s="1"/>
  <c r="G143" i="1"/>
  <c r="C136" i="4" s="1"/>
  <c r="G145" i="1"/>
  <c r="C138" i="4" s="1"/>
  <c r="G149" i="1"/>
  <c r="C142" i="4" s="1"/>
  <c r="G153" i="1"/>
  <c r="C146" i="4" s="1"/>
  <c r="G155" i="1"/>
  <c r="C148" i="4" s="1"/>
  <c r="G157" i="1"/>
  <c r="C150" i="4" s="1"/>
  <c r="G169" i="1"/>
  <c r="C162" i="4" s="1"/>
  <c r="G171" i="1"/>
  <c r="C164" i="4" s="1"/>
  <c r="G173" i="1"/>
  <c r="C166" i="4" s="1"/>
  <c r="G175" i="1"/>
  <c r="C168" i="4" s="1"/>
  <c r="G177" i="1"/>
  <c r="C170" i="4" s="1"/>
  <c r="G179" i="1"/>
  <c r="C172" i="4" s="1"/>
  <c r="G183" i="1"/>
  <c r="C176" i="4" s="1"/>
  <c r="G187" i="1"/>
  <c r="C180" i="4" s="1"/>
  <c r="G189" i="1"/>
  <c r="C182" i="4" s="1"/>
  <c r="G185" i="1"/>
  <c r="C178" i="4" s="1"/>
  <c r="G181" i="1"/>
  <c r="C174" i="4" s="1"/>
  <c r="G38" i="1"/>
  <c r="C31" i="4" s="1"/>
  <c r="G147" i="1"/>
  <c r="C140" i="4" s="1"/>
  <c r="G116" i="1"/>
  <c r="C109" i="4" s="1"/>
  <c r="G148" i="1"/>
  <c r="C141" i="4" s="1"/>
  <c r="G84" i="1"/>
  <c r="C77" i="4" s="1"/>
  <c r="G24" i="1"/>
  <c r="C17" i="4" s="1"/>
  <c r="G30" i="1"/>
  <c r="C23" i="4" s="1"/>
  <c r="G39" i="1"/>
  <c r="C32" i="4" s="1"/>
  <c r="E191" i="1"/>
  <c r="G13" i="1"/>
  <c r="C6" i="4" s="1"/>
  <c r="G17" i="1"/>
  <c r="C10" i="4" s="1"/>
  <c r="G21" i="1"/>
  <c r="C14" i="4" s="1"/>
  <c r="G23" i="1"/>
  <c r="C16" i="4" s="1"/>
  <c r="G25" i="1"/>
  <c r="C18" i="4" s="1"/>
  <c r="G27" i="1"/>
  <c r="C20" i="4" s="1"/>
  <c r="G29" i="1"/>
  <c r="C22" i="4" s="1"/>
  <c r="G52" i="1"/>
  <c r="C45" i="4" s="1"/>
  <c r="G70" i="1"/>
  <c r="C63" i="4" s="1"/>
  <c r="G78" i="1"/>
  <c r="C71" i="4" s="1"/>
  <c r="G88" i="1"/>
  <c r="C81" i="4" s="1"/>
  <c r="G90" i="1"/>
  <c r="C83" i="4" s="1"/>
  <c r="G94" i="1"/>
  <c r="C87" i="4" s="1"/>
  <c r="G96" i="1"/>
  <c r="C89" i="4" s="1"/>
  <c r="G98" i="1"/>
  <c r="C91" i="4" s="1"/>
  <c r="G106" i="1"/>
  <c r="C99" i="4" s="1"/>
  <c r="G110" i="1"/>
  <c r="C103" i="4" s="1"/>
  <c r="G120" i="1"/>
  <c r="C113" i="4" s="1"/>
  <c r="G128" i="1"/>
  <c r="C121" i="4" s="1"/>
  <c r="G130" i="1"/>
  <c r="C123" i="4" s="1"/>
  <c r="G134" i="1"/>
  <c r="C127" i="4" s="1"/>
  <c r="G136" i="1"/>
  <c r="C129" i="4" s="1"/>
  <c r="G138" i="1"/>
  <c r="C131" i="4" s="1"/>
  <c r="G142" i="1"/>
  <c r="C135" i="4" s="1"/>
  <c r="G154" i="1"/>
  <c r="C147" i="4" s="1"/>
  <c r="G158" i="1"/>
  <c r="C151" i="4" s="1"/>
  <c r="G160" i="1"/>
  <c r="C153" i="4" s="1"/>
  <c r="G162" i="1"/>
  <c r="C155" i="4" s="1"/>
  <c r="G166" i="1"/>
  <c r="C159" i="4" s="1"/>
  <c r="G41" i="1"/>
  <c r="C34" i="4" s="1"/>
  <c r="G43" i="1"/>
  <c r="C36" i="4" s="1"/>
  <c r="G45" i="1"/>
  <c r="C38" i="4" s="1"/>
  <c r="G47" i="1"/>
  <c r="C40" i="4" s="1"/>
  <c r="G49" i="1"/>
  <c r="C42" i="4" s="1"/>
  <c r="G51" i="1"/>
  <c r="C44" i="4" s="1"/>
  <c r="G53" i="1"/>
  <c r="C46" i="4" s="1"/>
  <c r="G55" i="1"/>
  <c r="C48" i="4" s="1"/>
  <c r="G59" i="1"/>
  <c r="C52" i="4" s="1"/>
  <c r="G180" i="1"/>
  <c r="C173" i="4" s="1"/>
  <c r="G20" i="1"/>
  <c r="C13" i="4" s="1"/>
  <c r="G71" i="1"/>
  <c r="C64" i="4" s="1"/>
  <c r="G95" i="1"/>
  <c r="C88" i="4" s="1"/>
  <c r="G103" i="1"/>
  <c r="C96" i="4" s="1"/>
  <c r="G127" i="1"/>
  <c r="C120" i="4" s="1"/>
  <c r="G135" i="1"/>
  <c r="C128" i="4" s="1"/>
  <c r="G159" i="1"/>
  <c r="C152" i="4" s="1"/>
  <c r="G167" i="1"/>
  <c r="C160" i="4" s="1"/>
  <c r="G56" i="1"/>
  <c r="C49" i="4" s="1"/>
  <c r="G126" i="1"/>
  <c r="C119" i="4" s="1"/>
  <c r="G102" i="1"/>
  <c r="C95" i="4" s="1"/>
  <c r="G58" i="1"/>
  <c r="C51" i="4" s="1"/>
  <c r="G40" i="1"/>
  <c r="C33" i="4" s="1"/>
  <c r="G14" i="1"/>
  <c r="C7" i="4" s="1"/>
  <c r="G152" i="1"/>
  <c r="C145" i="4" s="1"/>
  <c r="G151" i="1"/>
  <c r="C144" i="4" s="1"/>
  <c r="G66" i="1"/>
  <c r="C59" i="4" s="1"/>
  <c r="G15" i="1"/>
  <c r="C8" i="4" s="1"/>
  <c r="G61" i="1"/>
  <c r="C54" i="4" s="1"/>
  <c r="G74" i="1"/>
  <c r="C67" i="4" s="1"/>
  <c r="G62" i="1"/>
  <c r="C55" i="4" s="1"/>
  <c r="G19" i="1"/>
  <c r="C12" i="4" s="1"/>
  <c r="G34" i="1"/>
  <c r="C27" i="4" s="1"/>
  <c r="G72" i="1"/>
  <c r="C65" i="4" s="1"/>
  <c r="G85" i="1"/>
  <c r="C78" i="4" s="1"/>
  <c r="G121" i="1"/>
  <c r="C114" i="4" s="1"/>
  <c r="G168" i="1"/>
  <c r="C161" i="4" s="1"/>
  <c r="G104" i="1"/>
  <c r="C97" i="4" s="1"/>
  <c r="G26" i="1"/>
  <c r="C19" i="4" s="1"/>
  <c r="G123" i="1"/>
  <c r="C116" i="4" s="1"/>
  <c r="G122" i="1"/>
  <c r="C115" i="4" s="1"/>
  <c r="G75" i="1"/>
  <c r="C68" i="4" s="1"/>
  <c r="G64" i="1"/>
  <c r="C57" i="4" s="1"/>
  <c r="G57" i="1"/>
  <c r="C50" i="4" s="1"/>
  <c r="G28" i="1"/>
  <c r="C21" i="4" s="1"/>
  <c r="G60" i="1"/>
  <c r="C53" i="4" s="1"/>
  <c r="G92" i="1"/>
  <c r="C85" i="4" s="1"/>
  <c r="G124" i="1"/>
  <c r="C117" i="4" s="1"/>
  <c r="G156" i="1"/>
  <c r="C149" i="4" s="1"/>
  <c r="G188" i="1"/>
  <c r="C181" i="4" s="1"/>
  <c r="G36" i="1"/>
  <c r="C29" i="4" s="1"/>
  <c r="G68" i="1"/>
  <c r="C61" i="4" s="1"/>
  <c r="G100" i="1"/>
  <c r="C93" i="4" s="1"/>
  <c r="G132" i="1"/>
  <c r="C125" i="4" s="1"/>
  <c r="G164" i="1"/>
  <c r="C157" i="4" s="1"/>
  <c r="G12" i="1"/>
  <c r="C5" i="4" s="1"/>
  <c r="G16" i="1"/>
  <c r="C9" i="4" s="1"/>
  <c r="G18" i="1"/>
  <c r="C11" i="4" s="1"/>
  <c r="G22" i="1"/>
  <c r="C15" i="4" s="1"/>
  <c r="G33" i="1"/>
  <c r="C26" i="4" s="1"/>
  <c r="G35" i="1"/>
  <c r="C28" i="4" s="1"/>
  <c r="G37" i="1"/>
  <c r="C30" i="4" s="1"/>
  <c r="G44" i="1"/>
  <c r="C37" i="4" s="1"/>
  <c r="G48" i="1"/>
  <c r="C41" i="4" s="1"/>
  <c r="G50" i="1"/>
  <c r="C43" i="4" s="1"/>
  <c r="G54" i="1"/>
  <c r="C47" i="4" s="1"/>
  <c r="G65" i="1"/>
  <c r="C58" i="4" s="1"/>
  <c r="G67" i="1"/>
  <c r="C60" i="4" s="1"/>
  <c r="G69" i="1"/>
  <c r="C62" i="4" s="1"/>
  <c r="G76" i="1"/>
  <c r="C69" i="4" s="1"/>
  <c r="G80" i="1"/>
  <c r="C73" i="4" s="1"/>
  <c r="G82" i="1"/>
  <c r="C75" i="4" s="1"/>
  <c r="G86" i="1"/>
  <c r="C79" i="4" s="1"/>
  <c r="G97" i="1"/>
  <c r="C90" i="4" s="1"/>
  <c r="G99" i="1"/>
  <c r="C92" i="4" s="1"/>
  <c r="G101" i="1"/>
  <c r="C94" i="4" s="1"/>
  <c r="G108" i="1"/>
  <c r="C101" i="4" s="1"/>
  <c r="G112" i="1"/>
  <c r="C105" i="4" s="1"/>
  <c r="G114" i="1"/>
  <c r="C107" i="4" s="1"/>
  <c r="G118" i="1"/>
  <c r="C111" i="4" s="1"/>
  <c r="G129" i="1"/>
  <c r="C122" i="4" s="1"/>
  <c r="G131" i="1"/>
  <c r="C124" i="4" s="1"/>
  <c r="G133" i="1"/>
  <c r="C126" i="4" s="1"/>
  <c r="G140" i="1"/>
  <c r="C133" i="4" s="1"/>
  <c r="G144" i="1"/>
  <c r="C137" i="4" s="1"/>
  <c r="G146" i="1"/>
  <c r="C139" i="4" s="1"/>
  <c r="G150" i="1"/>
  <c r="C143" i="4" s="1"/>
  <c r="G161" i="1"/>
  <c r="C154" i="4" s="1"/>
  <c r="G163" i="1"/>
  <c r="C156" i="4" s="1"/>
  <c r="G165" i="1"/>
  <c r="C158" i="4" s="1"/>
  <c r="G172" i="1"/>
  <c r="C165" i="4" s="1"/>
  <c r="G176" i="1"/>
  <c r="C169" i="4" s="1"/>
  <c r="G178" i="1"/>
  <c r="C171" i="4" s="1"/>
  <c r="G182" i="1"/>
  <c r="C175" i="4" s="1"/>
  <c r="F191" i="1"/>
  <c r="C4" i="4"/>
  <c r="C204" i="4" l="1"/>
  <c r="G191" i="1"/>
  <c r="C53" i="5"/>
  <c r="E11" i="5"/>
  <c r="E53" i="5"/>
  <c r="F18" i="5" l="1"/>
  <c r="G18" i="5" s="1"/>
  <c r="F49" i="5"/>
  <c r="G49" i="5" s="1"/>
  <c r="F41" i="5"/>
  <c r="G41" i="5" s="1"/>
  <c r="F33" i="5"/>
  <c r="G33" i="5" s="1"/>
  <c r="F25" i="5"/>
  <c r="G25" i="5" s="1"/>
  <c r="F17" i="5"/>
  <c r="G17" i="5" s="1"/>
  <c r="F26" i="5"/>
  <c r="G26" i="5" s="1"/>
  <c r="F48" i="5"/>
  <c r="G48" i="5" s="1"/>
  <c r="F40" i="5"/>
  <c r="G40" i="5" s="1"/>
  <c r="F32" i="5"/>
  <c r="G32" i="5" s="1"/>
  <c r="F24" i="5"/>
  <c r="G24" i="5" s="1"/>
  <c r="F16" i="5"/>
  <c r="G16" i="5" s="1"/>
  <c r="F34" i="5"/>
  <c r="G34" i="5" s="1"/>
  <c r="F47" i="5"/>
  <c r="G47" i="5" s="1"/>
  <c r="F39" i="5"/>
  <c r="G39" i="5" s="1"/>
  <c r="F31" i="5"/>
  <c r="G31" i="5" s="1"/>
  <c r="F23" i="5"/>
  <c r="G23" i="5" s="1"/>
  <c r="F15" i="5"/>
  <c r="G15" i="5" s="1"/>
  <c r="F50" i="5"/>
  <c r="G50" i="5" s="1"/>
  <c r="F46" i="5"/>
  <c r="G46" i="5" s="1"/>
  <c r="F38" i="5"/>
  <c r="G38" i="5" s="1"/>
  <c r="F30" i="5"/>
  <c r="G30" i="5" s="1"/>
  <c r="F22" i="5"/>
  <c r="G22" i="5" s="1"/>
  <c r="F14" i="5"/>
  <c r="G14" i="5" s="1"/>
  <c r="F11" i="5"/>
  <c r="G11" i="5" s="1"/>
  <c r="F45" i="5"/>
  <c r="G45" i="5" s="1"/>
  <c r="F37" i="5"/>
  <c r="G37" i="5" s="1"/>
  <c r="F29" i="5"/>
  <c r="G29" i="5" s="1"/>
  <c r="F21" i="5"/>
  <c r="G21" i="5" s="1"/>
  <c r="F13" i="5"/>
  <c r="G13" i="5" s="1"/>
  <c r="F42" i="5"/>
  <c r="G42" i="5" s="1"/>
  <c r="F52" i="5"/>
  <c r="G52" i="5" s="1"/>
  <c r="F44" i="5"/>
  <c r="G44" i="5" s="1"/>
  <c r="F36" i="5"/>
  <c r="G36" i="5" s="1"/>
  <c r="F28" i="5"/>
  <c r="G28" i="5" s="1"/>
  <c r="F20" i="5"/>
  <c r="G20" i="5" s="1"/>
  <c r="F12" i="5"/>
  <c r="G12" i="5" s="1"/>
  <c r="F51" i="5"/>
  <c r="G51" i="5" s="1"/>
  <c r="F43" i="5"/>
  <c r="G43" i="5" s="1"/>
  <c r="F35" i="5"/>
  <c r="G35" i="5" s="1"/>
  <c r="F27" i="5"/>
  <c r="G27" i="5" s="1"/>
  <c r="F19" i="5"/>
  <c r="G19" i="5" s="1"/>
  <c r="G53" i="5" l="1"/>
  <c r="F5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C10" authorId="0" shapeId="0" xr:uid="{AFD83CBC-FFC4-4394-AA4F-6804FEF6B031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CDE received the final 1/3 allocation from USDE on 11/12/21.</t>
        </r>
      </text>
    </comment>
    <comment ref="V93" authorId="0" shapeId="0" xr:uid="{46771215-0D4F-49C9-A641-E0D83907EEA6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 of Duplicate funds in May</t>
        </r>
      </text>
    </comment>
  </commentList>
</comments>
</file>

<file path=xl/sharedStrings.xml><?xml version="1.0" encoding="utf-8"?>
<sst xmlns="http://schemas.openxmlformats.org/spreadsheetml/2006/main" count="1402" uniqueCount="793">
  <si>
    <t>Grant:</t>
  </si>
  <si>
    <t>CFDA #</t>
  </si>
  <si>
    <t>84.425D</t>
  </si>
  <si>
    <t>GRANT NUMBER:</t>
  </si>
  <si>
    <t>Questions regarding payments:</t>
  </si>
  <si>
    <t>Joe Shields 303-866-6034 or Shields_J@cde.state.co.us</t>
  </si>
  <si>
    <t xml:space="preserve">Questions regarding grant: </t>
  </si>
  <si>
    <t xml:space="preserve">Robert Hawkins 303-866-6775 or hawkins_r@cde.state.co.us </t>
  </si>
  <si>
    <t>Steven Kaleda 303-866-6724 or kaleda_S@cde.state.co.us</t>
  </si>
  <si>
    <t>GBL/ORG</t>
  </si>
  <si>
    <t>PAYMENTS PROCESSED:</t>
  </si>
  <si>
    <t>GRANT PERIOD:</t>
  </si>
  <si>
    <t>Code</t>
  </si>
  <si>
    <t>District</t>
  </si>
  <si>
    <t>Allocation</t>
  </si>
  <si>
    <t>Assignments</t>
  </si>
  <si>
    <t>Total  with Signover and Declines</t>
  </si>
  <si>
    <t>Payments to Date</t>
  </si>
  <si>
    <t>Balance of Grant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</si>
  <si>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</si>
  <si>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</si>
  <si>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</si>
  <si>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</si>
  <si>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</si>
  <si>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</si>
  <si>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</si>
  <si>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</si>
  <si>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</si>
  <si>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</si>
  <si>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</si>
  <si>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</si>
  <si>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</si>
  <si>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</si>
  <si>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</si>
  <si>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</si>
  <si>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</si>
  <si>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</si>
  <si>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</si>
  <si>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</si>
  <si>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</si>
  <si>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</si>
  <si>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</si>
  <si>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</si>
  <si>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</si>
  <si>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</si>
  <si>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</si>
  <si>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</si>
  <si>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</si>
  <si>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</si>
  <si>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</si>
  <si>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</si>
  <si>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</si>
  <si>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</si>
  <si>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</si>
  <si>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</si>
  <si>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</si>
  <si>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</si>
  <si>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</si>
  <si>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</si>
  <si>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</si>
  <si>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</si>
  <si>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</si>
  <si>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</si>
  <si>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</si>
  <si>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</si>
  <si>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</si>
  <si>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</si>
  <si>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</si>
  <si>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</si>
  <si>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</si>
  <si>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</si>
  <si>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</si>
  <si>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</si>
  <si>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</si>
  <si>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</si>
  <si>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</si>
  <si>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</si>
  <si>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</si>
  <si>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</si>
  <si>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</si>
  <si>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</si>
  <si>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</si>
  <si>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</si>
  <si>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</si>
  <si>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</si>
  <si>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</si>
  <si>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</si>
  <si>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</si>
  <si>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</si>
  <si>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</si>
  <si>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</si>
  <si>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</si>
  <si>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</si>
  <si>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</si>
  <si>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</si>
  <si>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</si>
  <si>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</si>
  <si>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</si>
  <si>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</si>
  <si>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</si>
  <si>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</si>
  <si>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</si>
  <si>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</si>
  <si>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</si>
  <si>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</si>
  <si>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</si>
  <si>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</si>
  <si>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</si>
  <si>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</si>
  <si>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</si>
  <si>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</si>
  <si>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</si>
  <si>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</si>
  <si>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</si>
  <si>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</si>
  <si>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</si>
  <si>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</si>
  <si>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</si>
  <si>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</si>
  <si>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</si>
  <si>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</si>
  <si>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</si>
  <si>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</si>
  <si>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</si>
  <si>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</si>
  <si>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</si>
  <si>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</si>
  <si>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</si>
  <si>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</si>
  <si>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</si>
  <si>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</si>
  <si>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</si>
  <si>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</si>
  <si>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</si>
  <si>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</si>
  <si>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</si>
  <si>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</si>
  <si>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</si>
  <si>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</si>
  <si>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</si>
  <si>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</si>
  <si>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</si>
  <si>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</si>
  <si>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</si>
  <si>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</si>
  <si>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</si>
  <si>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</si>
  <si>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</si>
  <si>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</si>
  <si>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</si>
  <si>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</si>
  <si>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</si>
  <si>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</si>
  <si>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</si>
  <si>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</si>
  <si>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</si>
  <si>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</si>
  <si>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</si>
  <si>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</si>
  <si>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</si>
  <si>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</si>
  <si>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</si>
  <si>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</si>
  <si>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</si>
  <si>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</si>
  <si>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</si>
  <si>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</si>
  <si>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</si>
  <si>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</si>
  <si>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</si>
  <si>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</si>
  <si>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</si>
  <si>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</si>
  <si>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</si>
  <si>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</si>
  <si>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</si>
  <si>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</si>
  <si>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</si>
  <si>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</si>
  <si>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</si>
  <si>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</si>
  <si>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</si>
  <si>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</si>
  <si>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</si>
  <si>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</si>
  <si>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</si>
  <si>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</si>
  <si>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</si>
  <si>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</si>
  <si>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</si>
  <si>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</si>
  <si>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</si>
  <si>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</si>
  <si>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</si>
  <si>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</si>
  <si>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</si>
  <si>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</si>
  <si>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</si>
  <si>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</si>
  <si>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</si>
  <si>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</si>
  <si>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</si>
  <si>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</si>
  <si>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</si>
  <si>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</si>
  <si>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</si>
  <si>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</si>
  <si>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</si>
  <si>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</si>
  <si>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</si>
  <si>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</si>
  <si>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</si>
  <si>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</si>
  <si>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</si>
  <si>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</si>
  <si>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</si>
  <si>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</si>
  <si>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</si>
  <si>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</si>
  <si>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</si>
  <si>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</si>
  <si>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</si>
  <si>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</si>
  <si>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</si>
  <si>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</si>
  <si>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</si>
  <si>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</si>
  <si>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</si>
  <si>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</si>
  <si>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</si>
  <si>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</si>
  <si>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</si>
  <si>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</si>
  <si>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</si>
  <si>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</si>
  <si>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</si>
  <si>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</si>
  <si>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</si>
  <si>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</si>
  <si>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</si>
  <si>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</si>
  <si>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</si>
  <si>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</si>
  <si>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</si>
  <si>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</si>
  <si>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</si>
  <si>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</si>
  <si>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</si>
  <si>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</si>
  <si>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</si>
  <si>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</si>
  <si>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</si>
  <si>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</si>
  <si>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</si>
  <si>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</si>
  <si>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</si>
  <si>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</si>
  <si>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</si>
  <si>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</si>
  <si>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</si>
  <si>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</si>
  <si>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</si>
  <si>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</si>
  <si>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</si>
  <si>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</si>
  <si>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</si>
  <si>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</si>
  <si>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</si>
  <si>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</si>
  <si>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</si>
  <si>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</si>
  <si>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</si>
  <si>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</si>
  <si>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</si>
  <si>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</si>
  <si>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</si>
  <si>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</si>
  <si>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</si>
  <si>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</si>
  <si>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</si>
  <si>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</si>
  <si>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</si>
  <si>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</si>
  <si>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</si>
  <si>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</si>
  <si>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</si>
  <si>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</si>
  <si>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</si>
  <si>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</si>
  <si>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</si>
  <si>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</si>
  <si>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</si>
  <si>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</si>
  <si>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</si>
  <si>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</si>
  <si>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</si>
  <si>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</si>
  <si>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</si>
  <si>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</si>
  <si>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</si>
  <si>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</si>
  <si>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</si>
  <si>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</si>
  <si>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</si>
  <si>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</si>
  <si>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</si>
  <si>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</si>
  <si>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</si>
  <si>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</si>
  <si>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</si>
  <si>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</si>
  <si>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</si>
  <si>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</si>
  <si>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</si>
  <si>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</si>
  <si>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</si>
  <si>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</si>
  <si>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</si>
  <si>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</si>
  <si>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</si>
  <si>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</si>
  <si>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</si>
  <si>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</si>
  <si>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</si>
  <si>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</si>
  <si>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</si>
  <si>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</si>
  <si>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</si>
  <si>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</si>
  <si>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</si>
  <si>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</si>
  <si>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</si>
  <si>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</si>
  <si>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</si>
  <si>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</si>
  <si>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</si>
  <si>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</si>
  <si>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</si>
  <si>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</si>
  <si>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</si>
  <si>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</si>
  <si>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</si>
  <si>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</si>
  <si>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</si>
  <si>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</si>
  <si>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</si>
  <si>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</si>
  <si>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</si>
  <si>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</si>
  <si>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</si>
  <si>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</si>
  <si>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</si>
  <si>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</si>
  <si>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</si>
  <si>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</si>
  <si>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</si>
  <si>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</si>
  <si>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</si>
  <si>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</si>
  <si>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</si>
  <si>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</si>
  <si>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</si>
  <si>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</si>
  <si>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</si>
  <si>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</si>
  <si>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</si>
  <si>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</si>
  <si>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</si>
  <si>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</si>
  <si>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</si>
  <si>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</si>
  <si>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</si>
  <si>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</si>
  <si>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</si>
  <si>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</si>
  <si>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</si>
  <si>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</si>
  <si>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</si>
  <si>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</si>
  <si>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Totals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</si>
  <si>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</si>
  <si>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</si>
  <si>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</si>
  <si>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</si>
  <si>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</si>
  <si>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</si>
  <si>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</si>
  <si>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</si>
  <si>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December
2021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</si>
  <si>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</si>
  <si>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</si>
  <si>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</si>
  <si>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</si>
  <si>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</si>
  <si>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</si>
  <si>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</si>
  <si>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</si>
  <si>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</si>
  <si>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5/07/20 THROUGH 9/30/22</t>
  </si>
  <si>
    <t>ESSER Supplemental Funding</t>
  </si>
  <si>
    <t>Subtotal</t>
  </si>
  <si>
    <t>South Utes</t>
  </si>
  <si>
    <t>Ute Mountain Utes</t>
  </si>
  <si>
    <t>9025</t>
  </si>
  <si>
    <t>East Central BOCES</t>
  </si>
  <si>
    <t>9040</t>
  </si>
  <si>
    <t>9030</t>
  </si>
  <si>
    <t>Mountain BOCES</t>
  </si>
  <si>
    <t>9035</t>
  </si>
  <si>
    <t>Centennial BOCES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</si>
  <si>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</si>
  <si>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</si>
  <si>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</si>
  <si>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</si>
  <si>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</si>
  <si>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</si>
  <si>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</si>
  <si>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</si>
  <si>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</si>
  <si>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9075</t>
  </si>
  <si>
    <t>Southeastern BOCES</t>
  </si>
  <si>
    <t>9125</t>
  </si>
  <si>
    <t>Rio Blanco BOCES</t>
  </si>
  <si>
    <t>9130</t>
  </si>
  <si>
    <t>Expeditionary BOCES</t>
  </si>
  <si>
    <t>9140</t>
  </si>
  <si>
    <t>Mt Evans BOCES</t>
  </si>
  <si>
    <t>9145</t>
  </si>
  <si>
    <t>Uncompahgre BOCES</t>
  </si>
  <si>
    <t>9150</t>
  </si>
  <si>
    <t>Santa Fe Trail BOCES</t>
  </si>
  <si>
    <t>9165</t>
  </si>
  <si>
    <t>Ute Pass BOCES</t>
  </si>
  <si>
    <t>9170</t>
  </si>
  <si>
    <t>Colorado Digital BOCES</t>
  </si>
  <si>
    <t>9175</t>
  </si>
  <si>
    <t>Colorado River BOCES</t>
  </si>
  <si>
    <t>47SF/7000</t>
  </si>
  <si>
    <t>8th OF EACH MONTH</t>
  </si>
  <si>
    <t>Y093</t>
  </si>
  <si>
    <t>District Name</t>
  </si>
  <si>
    <t>Northglenn-Thornton 12</t>
  </si>
  <si>
    <t>Brighton 27J</t>
  </si>
  <si>
    <t>Westminster 50</t>
  </si>
  <si>
    <t>Alamosa Re-11J</t>
  </si>
  <si>
    <t>Sangre De Cristo Re-22J</t>
  </si>
  <si>
    <t>Archuleta County 50 Jt</t>
  </si>
  <si>
    <t>Walsh Re-1</t>
  </si>
  <si>
    <t>Pritchett Re-3</t>
  </si>
  <si>
    <t>Springfield Re-4</t>
  </si>
  <si>
    <t>Vilas Re-5</t>
  </si>
  <si>
    <t>Las Animas Re-1</t>
  </si>
  <si>
    <t>Mc Clave Re-2</t>
  </si>
  <si>
    <t>Cheyenne County Re-5</t>
  </si>
  <si>
    <t>Clear Creek Re-1</t>
  </si>
  <si>
    <t>North Conejos Re-1J</t>
  </si>
  <si>
    <t>South Conejos Re-10</t>
  </si>
  <si>
    <t>Crowley County Re-1-J</t>
  </si>
  <si>
    <t>Consolidated C-1</t>
  </si>
  <si>
    <t>Dolores County Re No.2</t>
  </si>
  <si>
    <t>Douglas County Re 1</t>
  </si>
  <si>
    <t>Peyton 23 Jt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</si>
  <si>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</si>
  <si>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</si>
  <si>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</si>
  <si>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</si>
  <si>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</si>
  <si>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</si>
  <si>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</si>
  <si>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Gilpin County Re-1</t>
  </si>
  <si>
    <t>West Grand 1-Jt.</t>
  </si>
  <si>
    <t>Huerfano Re-1</t>
  </si>
  <si>
    <t>La Veta Re-2</t>
  </si>
  <si>
    <t>Eads Re-1</t>
  </si>
  <si>
    <t>Plainview Re-2</t>
  </si>
  <si>
    <t>Burlington Re-6J</t>
  </si>
  <si>
    <t>Ignacio 11 Jt</t>
  </si>
  <si>
    <t>Thompson R-2J</t>
  </si>
  <si>
    <t>Park (Estes Park) R-3</t>
  </si>
  <si>
    <t xml:space="preserve">Aguilar Reorganized 6 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</si>
  <si>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</si>
  <si>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</si>
  <si>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</si>
  <si>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</si>
  <si>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</si>
  <si>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</si>
  <si>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</si>
  <si>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</si>
  <si>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</si>
  <si>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</si>
  <si>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</si>
  <si>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</si>
  <si>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</si>
  <si>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</si>
  <si>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</si>
  <si>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</si>
  <si>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</si>
  <si>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</si>
  <si>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Park County Re-2</t>
  </si>
  <si>
    <t>Holyoke Re-1J</t>
  </si>
  <si>
    <t>Haxtun Re-2J</t>
  </si>
  <si>
    <t>Granada Re-1</t>
  </si>
  <si>
    <t>Lamar Re-2</t>
  </si>
  <si>
    <t>Holly Re-3</t>
  </si>
  <si>
    <t>Wiley Re-13 Jt</t>
  </si>
  <si>
    <t>Pueblo County Rural 70</t>
  </si>
  <si>
    <t>Rangely Re-4</t>
  </si>
  <si>
    <t>Sargent Re-33J</t>
  </si>
  <si>
    <t>Hayden Re-1</t>
  </si>
  <si>
    <t>Steamboat Springs Re-2</t>
  </si>
  <si>
    <t>Center 26 Jt</t>
  </si>
  <si>
    <t>Julesburg Re-1</t>
  </si>
  <si>
    <t>Summit Re-1</t>
  </si>
  <si>
    <t>Cripple Creek-Victor Re-1</t>
  </si>
  <si>
    <t>Woodland Park Re-2</t>
  </si>
  <si>
    <t>Gilcrest Re-1</t>
  </si>
  <si>
    <t>Eaton Re-2</t>
  </si>
  <si>
    <t>Windsor Re-4</t>
  </si>
  <si>
    <t>Weld County SD Re-5J</t>
  </si>
  <si>
    <t>Platte Valley Re-7</t>
  </si>
  <si>
    <t>Weld County Re-8</t>
  </si>
  <si>
    <t>Ault-Highland Re-9</t>
  </si>
  <si>
    <t>Briggsdale Re-10</t>
  </si>
  <si>
    <t>Pawnee Re-12</t>
  </si>
  <si>
    <t>CSI</t>
  </si>
  <si>
    <t>CSDB</t>
  </si>
  <si>
    <t xml:space="preserve">Centennial BOCES </t>
  </si>
  <si>
    <t>Decline</t>
  </si>
  <si>
    <t>Sante Fe Trail BOCES</t>
  </si>
  <si>
    <t>Y094</t>
  </si>
  <si>
    <t xml:space="preserve">9140 </t>
  </si>
  <si>
    <t>October
2022</t>
  </si>
  <si>
    <t>November
2022</t>
  </si>
  <si>
    <t>December
2022</t>
  </si>
  <si>
    <t>January
2023</t>
  </si>
  <si>
    <t>February
2023</t>
  </si>
  <si>
    <t>March
2023</t>
  </si>
  <si>
    <t>April
2023</t>
  </si>
  <si>
    <t>May
2023</t>
  </si>
  <si>
    <t>June
2023</t>
  </si>
  <si>
    <t>July
2023</t>
  </si>
  <si>
    <t>August
2023</t>
  </si>
  <si>
    <t>September
2023</t>
  </si>
  <si>
    <t>84.425U</t>
  </si>
  <si>
    <t>77SD/7000</t>
  </si>
  <si>
    <t>3/17/21 THROUGH 9/30/24</t>
  </si>
  <si>
    <t>ESSER III (Grant Code 4414)</t>
  </si>
  <si>
    <t>ARP - ESSER III Funding (Final 11/16/21)</t>
  </si>
  <si>
    <t>CDE received USDE approval on its State Plan in November.  The final 1/3 of the ARP allocation was released on 11/12/21.  Full funding is available for reimbursement beginning with the December 2021 processing batch.</t>
  </si>
  <si>
    <r>
      <t>Remaining Balances of ARP - ESSER III</t>
    </r>
    <r>
      <rPr>
        <b/>
        <sz val="22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(Final 11/16/21)</t>
    </r>
  </si>
  <si>
    <t>ARP - ESSER III Supplemental Funding</t>
  </si>
  <si>
    <t>1/01/22 THROUGH 9/30/24</t>
  </si>
  <si>
    <t>MAPLETON 1</t>
  </si>
  <si>
    <t>ADAMS 12 FIVE STAR SCHOOLS</t>
  </si>
  <si>
    <t>CHERRY CREEK 5</t>
  </si>
  <si>
    <t>DEER TRAIL 26J</t>
  </si>
  <si>
    <t>ADAMS-ARAPAHOE 28J</t>
  </si>
  <si>
    <t>PRITCHETT RE-3</t>
  </si>
  <si>
    <t>VILAS RE-5</t>
  </si>
  <si>
    <t>CAMPO RE-6</t>
  </si>
  <si>
    <t>BOULDER VALLEY RE2</t>
  </si>
  <si>
    <t>DENVER</t>
  </si>
  <si>
    <t>BIG SANDY 100J</t>
  </si>
  <si>
    <t>AGATE 300</t>
  </si>
  <si>
    <t>FOUNTAIN 8</t>
  </si>
  <si>
    <t>COLORADO SPRINGS 11</t>
  </si>
  <si>
    <t>ELLICOTT 22</t>
  </si>
  <si>
    <t>ROARING FORK RE-1</t>
  </si>
  <si>
    <t>GARFIELD RE-2</t>
  </si>
  <si>
    <t>GARFIELD 16</t>
  </si>
  <si>
    <t>JEFFERSON COUNTY R-1</t>
  </si>
  <si>
    <t>PLAINVIEW RE-2</t>
  </si>
  <si>
    <t>STRATTON R-4</t>
  </si>
  <si>
    <t>BETHUNE R-5</t>
  </si>
  <si>
    <t>DURANGO 9-R</t>
  </si>
  <si>
    <t>BAYFIELD 10 JT-R</t>
  </si>
  <si>
    <t>IGNACIO 11 JT</t>
  </si>
  <si>
    <t>KIM REORGANIZED 88</t>
  </si>
  <si>
    <t>CREEDE SCHOOL DISTRICT</t>
  </si>
  <si>
    <t>MONTEZUMA-CORTEZ RE-1</t>
  </si>
  <si>
    <t>BRUSH RE-2(J)</t>
  </si>
  <si>
    <t>FORT MORGAN RE-3</t>
  </si>
  <si>
    <t>HOLYOKE RE-1J</t>
  </si>
  <si>
    <t>PUEBLO COUNTY 70</t>
  </si>
  <si>
    <t>HAYDEN RE-1</t>
  </si>
  <si>
    <t>ARICKAREE R-2</t>
  </si>
  <si>
    <t>OTIS R-3</t>
  </si>
  <si>
    <t>LONE STAR 101</t>
  </si>
  <si>
    <t>WELD COUNTY RE-1</t>
  </si>
  <si>
    <t>AULT-HIGHLAND RE-9</t>
  </si>
  <si>
    <t>PRAIRIE RE-11</t>
  </si>
  <si>
    <t>WRAY RD-2</t>
  </si>
  <si>
    <t>IDALIA RJ-3</t>
  </si>
  <si>
    <t>LIBERTY J-4</t>
  </si>
  <si>
    <t>District Totals</t>
  </si>
  <si>
    <t>9095</t>
  </si>
  <si>
    <t>Northwest BOCES</t>
  </si>
  <si>
    <t>9120</t>
  </si>
  <si>
    <t>Adams County BOCES</t>
  </si>
  <si>
    <t>9135</t>
  </si>
  <si>
    <t>Grand Valley BOCES</t>
  </si>
  <si>
    <t>Mt. Evans BOCES</t>
  </si>
  <si>
    <t>9160</t>
  </si>
  <si>
    <t>Front Range BOCES</t>
  </si>
  <si>
    <t>Education reEnvisioned BOCES</t>
  </si>
  <si>
    <t>BOCES Totals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</si>
  <si>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</si>
  <si>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</si>
  <si>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</si>
  <si>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</si>
  <si>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</si>
  <si>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</si>
  <si>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</si>
  <si>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</si>
  <si>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</si>
  <si>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</si>
  <si>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</si>
  <si>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</si>
  <si>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</si>
  <si>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</si>
  <si>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</si>
  <si>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</si>
  <si>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</si>
  <si>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</si>
  <si>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</si>
  <si>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</si>
  <si>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</si>
  <si>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</si>
  <si>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</si>
  <si>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</si>
  <si>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</si>
  <si>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</si>
  <si>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</si>
  <si>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</si>
  <si>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</si>
  <si>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</si>
  <si>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19010</t>
  </si>
  <si>
    <t>Eagle County RE 50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</si>
  <si>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</si>
  <si>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</si>
  <si>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</si>
  <si>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</si>
  <si>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</si>
  <si>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</si>
  <si>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</si>
  <si>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</si>
  <si>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</si>
  <si>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</si>
  <si>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</si>
  <si>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</si>
  <si>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</si>
  <si>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</si>
  <si>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</si>
  <si>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</si>
  <si>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</si>
  <si>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</si>
  <si>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</si>
  <si>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</si>
  <si>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</si>
  <si>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</si>
  <si>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</si>
  <si>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</t>
  </si>
  <si>
    <t>30011</t>
  </si>
  <si>
    <t>Jefferson R-1, Lakewood</t>
  </si>
  <si>
    <t>34010</t>
  </si>
  <si>
    <t>La Plata 9-R, Durango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</si>
  <si>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</si>
  <si>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</si>
  <si>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</si>
  <si>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</si>
  <si>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</si>
  <si>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</si>
  <si>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</si>
  <si>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</si>
  <si>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</si>
  <si>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51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</si>
  <si>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</si>
  <si>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</si>
  <si>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</si>
  <si>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</si>
  <si>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</si>
  <si>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</si>
  <si>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</si>
  <si>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 1, Aspen</t>
  </si>
  <si>
    <t>51010</t>
  </si>
  <si>
    <t>Pueblo 60, Urban</t>
  </si>
  <si>
    <t>51020</t>
  </si>
  <si>
    <t>Pueblo 70, Rural</t>
  </si>
  <si>
    <t>54010</t>
  </si>
  <si>
    <t>59010</t>
  </si>
  <si>
    <t>Summit Re 1, Frisco</t>
  </si>
  <si>
    <t>62040</t>
  </si>
  <si>
    <t>Weld Re-4, Windsor</t>
  </si>
  <si>
    <t>62050</t>
  </si>
  <si>
    <t>Johnstown/Milliken</t>
  </si>
  <si>
    <t>62060</t>
  </si>
  <si>
    <t>Weld 6, Greeley</t>
  </si>
  <si>
    <t>64043</t>
  </si>
  <si>
    <t>64045</t>
  </si>
  <si>
    <t>Education ReEnvisioned</t>
  </si>
  <si>
    <t>64053</t>
  </si>
  <si>
    <t>64093</t>
  </si>
  <si>
    <t>64103</t>
  </si>
  <si>
    <t>Northeast Colorado BOCES</t>
  </si>
  <si>
    <t>64123</t>
  </si>
  <si>
    <t>Northwest Colorado BOCES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</si>
  <si>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</si>
  <si>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</si>
  <si>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</si>
  <si>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</si>
  <si>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</si>
  <si>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</si>
  <si>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</si>
  <si>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</si>
  <si>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</si>
  <si>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</si>
  <si>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64233</t>
  </si>
  <si>
    <t>80010</t>
  </si>
  <si>
    <t>Administrative Units Totals</t>
  </si>
  <si>
    <t>8102</t>
  </si>
  <si>
    <t>Colorado MHI at Pueblo</t>
  </si>
  <si>
    <t>8605</t>
  </si>
  <si>
    <t>Colorado School For Deaf and Blind</t>
  </si>
  <si>
    <t>6015</t>
  </si>
  <si>
    <t>ACMHC (dba) Community Reach Center, Inc.</t>
  </si>
  <si>
    <t>6025</t>
  </si>
  <si>
    <t>Alternative Homes for Youth / North Greeley Academy</t>
  </si>
  <si>
    <t>6037</t>
  </si>
  <si>
    <t>Aurora Community MHC / Hampden Youth Campus</t>
  </si>
  <si>
    <t>6031</t>
  </si>
  <si>
    <t>Cedar Springs Hospital / Southgate School</t>
  </si>
  <si>
    <t>6199</t>
  </si>
  <si>
    <t>Cornell Corrections of California d.b.a. (Southern Peaks RTC)</t>
  </si>
  <si>
    <t>6075</t>
  </si>
  <si>
    <t>Denver Children's Home (Bansbach Academy)</t>
  </si>
  <si>
    <t>6079</t>
  </si>
  <si>
    <t>Denver Health Medical Center Authority</t>
  </si>
  <si>
    <t>6082</t>
  </si>
  <si>
    <t>Devereux Cleo Wallace Center</t>
  </si>
  <si>
    <t>6063</t>
  </si>
  <si>
    <t>Friends of Children (d.b.a.) Colorado Christian Home / Tennyson Center</t>
  </si>
  <si>
    <t>6091</t>
  </si>
  <si>
    <t>Griffith Center, Inc.</t>
  </si>
  <si>
    <t>6414</t>
  </si>
  <si>
    <t>Hilltop Youth Services (d.b.a.) Hilltop Community Resources</t>
  </si>
  <si>
    <t>4839</t>
  </si>
  <si>
    <t>Jefferson Hills</t>
  </si>
  <si>
    <t>6092</t>
  </si>
  <si>
    <t>Laradon Hall</t>
  </si>
  <si>
    <t>6095</t>
  </si>
  <si>
    <t>Mental Health Center of Denver - Skyline Academy</t>
  </si>
  <si>
    <t>6102</t>
  </si>
  <si>
    <t>Mt. St. Vincent Home</t>
  </si>
  <si>
    <t>6107</t>
  </si>
  <si>
    <t>National Jewish Hospital - Morgridge Academy</t>
  </si>
  <si>
    <t>9361</t>
  </si>
  <si>
    <t>Rite of Passage</t>
  </si>
  <si>
    <t>6110</t>
  </si>
  <si>
    <t>Roundup Fellowship</t>
  </si>
  <si>
    <t>Sewell Child Development Center</t>
  </si>
  <si>
    <t>6204</t>
  </si>
  <si>
    <t>Shiloh Home, Inc.</t>
  </si>
  <si>
    <t>6210</t>
  </si>
  <si>
    <t>Smith Agency dba Serenity Learning Center</t>
  </si>
  <si>
    <t>6240</t>
  </si>
  <si>
    <t>Spectra Autism Center (formerly Creative Perspectives)</t>
  </si>
  <si>
    <t>6206</t>
  </si>
  <si>
    <t>The Joshua School</t>
  </si>
  <si>
    <t>6416</t>
  </si>
  <si>
    <t>Third Way Center, Inc.(Joan Farley Academy)</t>
  </si>
  <si>
    <t>6038</t>
  </si>
  <si>
    <t>Turning Point Center for Youth</t>
  </si>
  <si>
    <t>6053</t>
  </si>
  <si>
    <t>Valley View Hospital - Youth Recovery Center</t>
  </si>
  <si>
    <t>6268</t>
  </si>
  <si>
    <t>Elevation Ability Services</t>
  </si>
  <si>
    <t>Highlands Behavioral Health - Poplar Way Academy</t>
  </si>
  <si>
    <t>GoldStar - StarBound Academy</t>
  </si>
  <si>
    <t>Facility Schools Total</t>
  </si>
  <si>
    <t>Southern Utes</t>
  </si>
  <si>
    <t>Tribes</t>
  </si>
  <si>
    <t>October
2023</t>
  </si>
  <si>
    <t>November
2023</t>
  </si>
  <si>
    <t>December
2023</t>
  </si>
  <si>
    <t>January
2024</t>
  </si>
  <si>
    <t>February
2024</t>
  </si>
  <si>
    <t>March
2024</t>
  </si>
  <si>
    <t>April
2024</t>
  </si>
  <si>
    <t>May
2024</t>
  </si>
  <si>
    <t>June
2024</t>
  </si>
  <si>
    <t>July
2024</t>
  </si>
  <si>
    <t>August
2024</t>
  </si>
  <si>
    <t>September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</si>
</sst>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49" fontId="5" fillId="2" borderId="0" xfId="0" quotePrefix="1" applyNumberFormat="1" applyFont="1" applyFill="1" applyAlignment="1">
      <alignment horizontal="left"/>
    </xf>
    <xf numFmtId="0" fontId="5" fillId="2" borderId="0" xfId="0" applyFont="1" applyFill="1"/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left"/>
    </xf>
    <xf numFmtId="164" fontId="7" fillId="2" borderId="5" xfId="1" applyNumberFormat="1" applyFont="1" applyFill="1" applyBorder="1"/>
    <xf numFmtId="39" fontId="7" fillId="2" borderId="5" xfId="1" applyNumberFormat="1" applyFont="1" applyFill="1" applyBorder="1"/>
    <xf numFmtId="49" fontId="7" fillId="2" borderId="5" xfId="1" applyNumberFormat="1" applyFont="1" applyFill="1" applyBorder="1" applyAlignment="1">
      <alignment horizontal="center"/>
    </xf>
    <xf numFmtId="4" fontId="7" fillId="2" borderId="5" xfId="1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/>
    <xf numFmtId="39" fontId="6" fillId="2" borderId="5" xfId="0" applyNumberFormat="1" applyFont="1" applyFill="1" applyBorder="1"/>
    <xf numFmtId="49" fontId="2" fillId="0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164" fontId="9" fillId="2" borderId="5" xfId="1" applyNumberFormat="1" applyFont="1" applyFill="1" applyBorder="1"/>
    <xf numFmtId="39" fontId="7" fillId="2" borderId="7" xfId="1" applyNumberFormat="1" applyFont="1" applyFill="1" applyBorder="1"/>
    <xf numFmtId="4" fontId="7" fillId="2" borderId="7" xfId="1" applyNumberFormat="1" applyFont="1" applyFill="1" applyBorder="1"/>
    <xf numFmtId="39" fontId="7" fillId="2" borderId="6" xfId="1" applyNumberFormat="1" applyFont="1" applyFill="1" applyBorder="1"/>
    <xf numFmtId="49" fontId="7" fillId="2" borderId="6" xfId="1" applyNumberFormat="1" applyFont="1" applyFill="1" applyBorder="1" applyAlignment="1">
      <alignment horizontal="center"/>
    </xf>
    <xf numFmtId="4" fontId="7" fillId="2" borderId="6" xfId="1" applyNumberFormat="1" applyFont="1" applyFill="1" applyBorder="1"/>
    <xf numFmtId="39" fontId="9" fillId="2" borderId="7" xfId="1" applyNumberFormat="1" applyFont="1" applyFill="1" applyBorder="1"/>
    <xf numFmtId="4" fontId="9" fillId="2" borderId="8" xfId="1" applyNumberFormat="1" applyFont="1" applyFill="1" applyBorder="1"/>
    <xf numFmtId="49" fontId="9" fillId="2" borderId="7" xfId="1" applyNumberFormat="1" applyFont="1" applyFill="1" applyBorder="1" applyAlignment="1">
      <alignment horizontal="center"/>
    </xf>
    <xf numFmtId="4" fontId="9" fillId="2" borderId="7" xfId="1" applyNumberFormat="1" applyFont="1" applyFill="1" applyBorder="1"/>
    <xf numFmtId="0" fontId="12" fillId="0" borderId="0" xfId="0" applyFo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5" xfId="0" applyFont="1" applyBorder="1"/>
    <xf numFmtId="38" fontId="14" fillId="0" borderId="0" xfId="0" applyNumberFormat="1" applyFont="1"/>
    <xf numFmtId="49" fontId="14" fillId="0" borderId="16" xfId="0" applyNumberFormat="1" applyFont="1" applyBorder="1" applyAlignment="1">
      <alignment horizontal="center"/>
    </xf>
    <xf numFmtId="0" fontId="14" fillId="0" borderId="17" xfId="0" applyFont="1" applyBorder="1"/>
    <xf numFmtId="0" fontId="14" fillId="0" borderId="16" xfId="0" quotePrefix="1" applyFont="1" applyBorder="1" applyAlignment="1">
      <alignment horizontal="center"/>
    </xf>
    <xf numFmtId="0" fontId="14" fillId="0" borderId="18" xfId="0" quotePrefix="1" applyFont="1" applyBorder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38" fontId="12" fillId="0" borderId="0" xfId="0" applyNumberFormat="1" applyFont="1"/>
    <xf numFmtId="49" fontId="15" fillId="2" borderId="5" xfId="1" applyNumberFormat="1" applyFont="1" applyFill="1" applyBorder="1" applyAlignment="1">
      <alignment horizontal="center"/>
    </xf>
    <xf numFmtId="49" fontId="7" fillId="2" borderId="5" xfId="1" quotePrefix="1" applyNumberFormat="1" applyFont="1" applyFill="1" applyBorder="1" applyAlignment="1">
      <alignment horizontal="left"/>
    </xf>
    <xf numFmtId="38" fontId="14" fillId="0" borderId="19" xfId="0" applyNumberFormat="1" applyFont="1" applyBorder="1"/>
    <xf numFmtId="37" fontId="7" fillId="2" borderId="5" xfId="1" applyNumberFormat="1" applyFont="1" applyFill="1" applyBorder="1"/>
    <xf numFmtId="37" fontId="6" fillId="2" borderId="5" xfId="0" applyNumberFormat="1" applyFont="1" applyFill="1" applyBorder="1"/>
    <xf numFmtId="3" fontId="7" fillId="2" borderId="5" xfId="1" applyNumberFormat="1" applyFont="1" applyFill="1" applyBorder="1"/>
    <xf numFmtId="37" fontId="7" fillId="0" borderId="5" xfId="1" applyNumberFormat="1" applyFont="1" applyFill="1" applyBorder="1"/>
    <xf numFmtId="49" fontId="7" fillId="0" borderId="5" xfId="1" applyNumberFormat="1" applyFont="1" applyFill="1" applyBorder="1" applyAlignment="1">
      <alignment horizontal="left"/>
    </xf>
    <xf numFmtId="164" fontId="7" fillId="0" borderId="5" xfId="1" applyNumberFormat="1" applyFont="1" applyFill="1" applyBorder="1"/>
    <xf numFmtId="49" fontId="7" fillId="0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/>
    <xf numFmtId="4" fontId="7" fillId="0" borderId="5" xfId="1" applyNumberFormat="1" applyFont="1" applyFill="1" applyBorder="1"/>
    <xf numFmtId="2" fontId="8" fillId="0" borderId="0" xfId="0" applyNumberFormat="1" applyFont="1" applyFill="1"/>
    <xf numFmtId="0" fontId="0" fillId="0" borderId="0" xfId="0" applyFill="1"/>
    <xf numFmtId="37" fontId="9" fillId="2" borderId="5" xfId="1" applyNumberFormat="1" applyFont="1" applyFill="1" applyBorder="1"/>
    <xf numFmtId="39" fontId="9" fillId="2" borderId="5" xfId="1" applyNumberFormat="1" applyFont="1" applyFill="1" applyBorder="1"/>
    <xf numFmtId="164" fontId="19" fillId="2" borderId="5" xfId="1" applyNumberFormat="1" applyFont="1" applyFill="1" applyBorder="1"/>
    <xf numFmtId="164" fontId="9" fillId="0" borderId="5" xfId="1" applyNumberFormat="1" applyFont="1" applyFill="1" applyBorder="1"/>
    <xf numFmtId="39" fontId="7" fillId="0" borderId="5" xfId="1" applyNumberFormat="1" applyFont="1" applyFill="1" applyBorder="1"/>
    <xf numFmtId="39" fontId="7" fillId="0" borderId="0" xfId="1" applyNumberFormat="1" applyFont="1" applyFill="1" applyBorder="1"/>
    <xf numFmtId="39" fontId="9" fillId="0" borderId="5" xfId="1" applyNumberFormat="1" applyFont="1" applyFill="1" applyBorder="1"/>
    <xf numFmtId="2" fontId="20" fillId="0" borderId="0" xfId="0" applyNumberFormat="1" applyFont="1"/>
    <xf numFmtId="49" fontId="21" fillId="2" borderId="5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3AB5-2261-4B93-9BEC-9345964CEF9C}">
  <sheetPr>
    <pageSetUpPr fitToPage="1"/>
  </sheetPr>
  <dimension ref="A1:D224"/>
  <sheetViews>
    <sheetView workbookViewId="0">
      <selection activeCell="C6" sqref="C6"/>
    </sheetView>
  </sheetViews>
  <sheetFormatPr defaultColWidth="9.140625" defaultRowHeight="15" x14ac:dyDescent="0.25"/>
  <cols>
    <col min="1" max="1" width="14.140625" style="51" customWidth="1"/>
    <col min="2" max="2" width="40.85546875" style="39" customWidth="1"/>
    <col min="3" max="3" width="36.28515625" style="39" customWidth="1"/>
    <col min="4" max="4" width="0.7109375" style="39" customWidth="1"/>
    <col min="5" max="16384" width="9.140625" style="39"/>
  </cols>
  <sheetData>
    <row r="1" spans="1:4" ht="15.75" customHeight="1" x14ac:dyDescent="0.25">
      <c r="A1" s="76" t="s">
        <v>549</v>
      </c>
      <c r="B1" s="77"/>
      <c r="C1" s="77"/>
      <c r="D1" s="77"/>
    </row>
    <row r="2" spans="1:4" ht="54" customHeight="1" thickBot="1" x14ac:dyDescent="0.3">
      <c r="A2" s="78"/>
      <c r="B2" s="79"/>
      <c r="C2" s="79"/>
      <c r="D2" s="79"/>
    </row>
    <row r="3" spans="1:4" ht="19.5" thickBot="1" x14ac:dyDescent="0.35">
      <c r="A3" s="40" t="s">
        <v>12</v>
      </c>
      <c r="B3" s="41" t="s">
        <v>440</v>
      </c>
      <c r="C3" s="41" t="s">
        <v>546</v>
      </c>
      <c r="D3" s="41"/>
    </row>
    <row r="4" spans="1:4" ht="18.75" x14ac:dyDescent="0.3">
      <c r="A4" s="42" t="s">
        <v>19</v>
      </c>
      <c r="B4" s="43" t="s">
        <v>20</v>
      </c>
      <c r="C4" s="44">
        <f>VLOOKUP(A4,'ESSER III Funding'!A11:G190,7,FALSE)</f>
        <v>2797048.3</v>
      </c>
      <c r="D4" s="44">
        <f>VLOOKUP(A4,'Supplemental ESSER (5425)'!A11:G194,7,FALSE)</f>
        <v>0</v>
      </c>
    </row>
    <row r="5" spans="1:4" ht="18.75" x14ac:dyDescent="0.3">
      <c r="A5" s="45" t="s">
        <v>21</v>
      </c>
      <c r="B5" s="46" t="s">
        <v>441</v>
      </c>
      <c r="C5" s="44">
        <f>VLOOKUP(A5,'ESSER III Funding'!A12:G191,7,FALSE)</f>
        <v>20780672.359999999</v>
      </c>
      <c r="D5" s="44">
        <f>VLOOKUP(A5,'Supplemental ESSER (5425)'!A12:G195,7,FALSE)</f>
        <v>0</v>
      </c>
    </row>
    <row r="6" spans="1:4" ht="18.75" x14ac:dyDescent="0.3">
      <c r="A6" s="45" t="s">
        <v>23</v>
      </c>
      <c r="B6" s="46" t="s">
        <v>24</v>
      </c>
      <c r="C6" s="44">
        <f>VLOOKUP(A6,'ESSER III Funding'!A13:G192,7,FALSE)</f>
        <v>10416633.48</v>
      </c>
      <c r="D6" s="44">
        <v>0</v>
      </c>
    </row>
    <row r="7" spans="1:4" ht="18.75" x14ac:dyDescent="0.3">
      <c r="A7" s="45" t="s">
        <v>25</v>
      </c>
      <c r="B7" s="46" t="s">
        <v>442</v>
      </c>
      <c r="C7" s="44">
        <f>VLOOKUP(A7,'ESSER III Funding'!A14:G193,7,FALSE)</f>
        <v>3634319.51</v>
      </c>
      <c r="D7" s="44">
        <v>0</v>
      </c>
    </row>
    <row r="8" spans="1:4" ht="18.75" x14ac:dyDescent="0.3">
      <c r="A8" s="45" t="s">
        <v>27</v>
      </c>
      <c r="B8" s="46" t="s">
        <v>28</v>
      </c>
      <c r="C8" s="44">
        <f>VLOOKUP(A8,'ESSER III Funding'!A15:G194,7,FALSE)</f>
        <v>0</v>
      </c>
      <c r="D8" s="44">
        <v>0</v>
      </c>
    </row>
    <row r="9" spans="1:4" ht="18.75" x14ac:dyDescent="0.3">
      <c r="A9" s="45" t="s">
        <v>29</v>
      </c>
      <c r="B9" s="46" t="s">
        <v>30</v>
      </c>
      <c r="C9" s="44">
        <f>VLOOKUP(A9,'ESSER III Funding'!A16:G195,7,FALSE)</f>
        <v>66067.489999999991</v>
      </c>
      <c r="D9" s="44">
        <v>0</v>
      </c>
    </row>
    <row r="10" spans="1:4" ht="18.75" x14ac:dyDescent="0.3">
      <c r="A10" s="45" t="s">
        <v>31</v>
      </c>
      <c r="B10" s="46" t="s">
        <v>443</v>
      </c>
      <c r="C10" s="44">
        <f>VLOOKUP(A10,'ESSER III Funding'!A17:G196,7,FALSE)</f>
        <v>8947959.6600000001</v>
      </c>
      <c r="D10" s="44">
        <v>0</v>
      </c>
    </row>
    <row r="11" spans="1:4" ht="18.75" x14ac:dyDescent="0.3">
      <c r="A11" s="45" t="s">
        <v>33</v>
      </c>
      <c r="B11" s="46" t="s">
        <v>444</v>
      </c>
      <c r="C11" s="44">
        <f>VLOOKUP(A11,'ESSER III Funding'!A18:G197,7,FALSE)</f>
        <v>4991751.3599999994</v>
      </c>
      <c r="D11" s="44">
        <v>0</v>
      </c>
    </row>
    <row r="12" spans="1:4" ht="18.75" x14ac:dyDescent="0.3">
      <c r="A12" s="45" t="s">
        <v>35</v>
      </c>
      <c r="B12" s="46" t="s">
        <v>445</v>
      </c>
      <c r="C12" s="44">
        <f>VLOOKUP(A12,'ESSER III Funding'!A19:G198,7,FALSE)</f>
        <v>659233</v>
      </c>
      <c r="D12" s="44">
        <v>0</v>
      </c>
    </row>
    <row r="13" spans="1:4" ht="18.75" x14ac:dyDescent="0.3">
      <c r="A13" s="45" t="s">
        <v>37</v>
      </c>
      <c r="B13" s="46" t="s">
        <v>38</v>
      </c>
      <c r="C13" s="44">
        <f>VLOOKUP(A13,'ESSER III Funding'!A20:G199,7,FALSE)</f>
        <v>1987590</v>
      </c>
      <c r="D13" s="44">
        <v>0</v>
      </c>
    </row>
    <row r="14" spans="1:4" ht="18.75" x14ac:dyDescent="0.3">
      <c r="A14" s="45" t="s">
        <v>39</v>
      </c>
      <c r="B14" s="46" t="s">
        <v>40</v>
      </c>
      <c r="C14" s="44">
        <f>VLOOKUP(A14,'ESSER III Funding'!A21:G200,7,FALSE)</f>
        <v>3674467.99</v>
      </c>
      <c r="D14" s="44">
        <v>0</v>
      </c>
    </row>
    <row r="15" spans="1:4" ht="18.75" x14ac:dyDescent="0.3">
      <c r="A15" s="45" t="s">
        <v>41</v>
      </c>
      <c r="B15" s="46" t="s">
        <v>42</v>
      </c>
      <c r="C15" s="44">
        <f>VLOOKUP(A15,'ESSER III Funding'!A22:G201,7,FALSE)</f>
        <v>28831738.539999999</v>
      </c>
      <c r="D15" s="44">
        <v>0</v>
      </c>
    </row>
    <row r="16" spans="1:4" ht="18.75" x14ac:dyDescent="0.3">
      <c r="A16" s="45" t="s">
        <v>43</v>
      </c>
      <c r="B16" s="46" t="s">
        <v>44</v>
      </c>
      <c r="C16" s="44">
        <f>VLOOKUP(A16,'ESSER III Funding'!A23:G202,7,FALSE)</f>
        <v>2258770.31</v>
      </c>
      <c r="D16" s="44">
        <v>0</v>
      </c>
    </row>
    <row r="17" spans="1:4" ht="18.75" x14ac:dyDescent="0.3">
      <c r="A17" s="45" t="s">
        <v>45</v>
      </c>
      <c r="B17" s="46" t="s">
        <v>46</v>
      </c>
      <c r="C17" s="44">
        <f>VLOOKUP(A17,'ESSER III Funding'!A24:G203,7,FALSE)</f>
        <v>167946</v>
      </c>
      <c r="D17" s="44">
        <f>VLOOKUP(A17,'Supplemental ESSER (5425)'!A13:G207,7,FALSE)</f>
        <v>0</v>
      </c>
    </row>
    <row r="18" spans="1:4" ht="18.75" x14ac:dyDescent="0.3">
      <c r="A18" s="45" t="s">
        <v>47</v>
      </c>
      <c r="B18" s="46" t="s">
        <v>48</v>
      </c>
      <c r="C18" s="44">
        <f>VLOOKUP(A18,'ESSER III Funding'!A25:G204,7,FALSE)</f>
        <v>64271209.880000003</v>
      </c>
      <c r="D18" s="44">
        <f>VLOOKUP(A18,'Supplemental ESSER (5425)'!A14:G208,7,FALSE)</f>
        <v>0</v>
      </c>
    </row>
    <row r="19" spans="1:4" ht="18.75" x14ac:dyDescent="0.3">
      <c r="A19" s="45" t="s">
        <v>49</v>
      </c>
      <c r="B19" s="46" t="s">
        <v>50</v>
      </c>
      <c r="C19" s="44">
        <f>VLOOKUP(A19,'ESSER III Funding'!A26:G205,7,FALSE)</f>
        <v>435276</v>
      </c>
      <c r="D19" s="44">
        <v>0</v>
      </c>
    </row>
    <row r="20" spans="1:4" ht="18.75" x14ac:dyDescent="0.3">
      <c r="A20" s="45" t="s">
        <v>51</v>
      </c>
      <c r="B20" s="46" t="s">
        <v>446</v>
      </c>
      <c r="C20" s="44">
        <f>VLOOKUP(A20,'ESSER III Funding'!A27:G206,7,FALSE)</f>
        <v>1992593.4600000002</v>
      </c>
      <c r="D20" s="44">
        <v>0</v>
      </c>
    </row>
    <row r="21" spans="1:4" ht="18.75" x14ac:dyDescent="0.3">
      <c r="A21" s="45" t="s">
        <v>53</v>
      </c>
      <c r="B21" s="46" t="s">
        <v>447</v>
      </c>
      <c r="C21" s="44">
        <f>VLOOKUP(A21,'ESSER III Funding'!A28:G207,7,FALSE)</f>
        <v>30796.760000000009</v>
      </c>
      <c r="D21" s="44">
        <v>0</v>
      </c>
    </row>
    <row r="22" spans="1:4" ht="18.75" x14ac:dyDescent="0.3">
      <c r="A22" s="45" t="s">
        <v>55</v>
      </c>
      <c r="B22" s="46" t="s">
        <v>448</v>
      </c>
      <c r="C22" s="44">
        <f>VLOOKUP(A22,'ESSER III Funding'!A29:G208,7,FALSE)</f>
        <v>101537</v>
      </c>
      <c r="D22" s="44">
        <f>VLOOKUP(A22,'Supplemental ESSER (5425)'!A15:G212,7,FALSE)</f>
        <v>0</v>
      </c>
    </row>
    <row r="23" spans="1:4" ht="18.75" x14ac:dyDescent="0.3">
      <c r="A23" s="45" t="s">
        <v>57</v>
      </c>
      <c r="B23" s="46" t="s">
        <v>449</v>
      </c>
      <c r="C23" s="44">
        <f>VLOOKUP(A23,'ESSER III Funding'!A30:G209,7,FALSE)</f>
        <v>938414.55</v>
      </c>
      <c r="D23" s="44">
        <v>0</v>
      </c>
    </row>
    <row r="24" spans="1:4" ht="18.75" x14ac:dyDescent="0.3">
      <c r="A24" s="45" t="s">
        <v>59</v>
      </c>
      <c r="B24" s="46" t="s">
        <v>450</v>
      </c>
      <c r="C24" s="44">
        <f>VLOOKUP(A24,'ESSER III Funding'!A31:G210,7,FALSE)</f>
        <v>19311.479999999996</v>
      </c>
      <c r="D24" s="44">
        <f>VLOOKUP(A24,'Supplemental ESSER (5425)'!A16:G214,7,FALSE)</f>
        <v>0</v>
      </c>
    </row>
    <row r="25" spans="1:4" ht="18.75" x14ac:dyDescent="0.3">
      <c r="A25" s="45" t="s">
        <v>61</v>
      </c>
      <c r="B25" s="46" t="s">
        <v>62</v>
      </c>
      <c r="C25" s="44">
        <f>VLOOKUP(A25,'ESSER III Funding'!A32:G211,7,FALSE)</f>
        <v>38505.68</v>
      </c>
      <c r="D25" s="44">
        <f>VLOOKUP(A25,'Supplemental ESSER (5425)'!A17:G215,7,FALSE)</f>
        <v>0</v>
      </c>
    </row>
    <row r="26" spans="1:4" ht="18.75" x14ac:dyDescent="0.3">
      <c r="A26" s="45" t="s">
        <v>63</v>
      </c>
      <c r="B26" s="46" t="s">
        <v>451</v>
      </c>
      <c r="C26" s="44">
        <f>VLOOKUP(A26,'ESSER III Funding'!A33:G212,7,FALSE)</f>
        <v>4741770.5</v>
      </c>
      <c r="D26" s="44">
        <v>0</v>
      </c>
    </row>
    <row r="27" spans="1:4" ht="18.75" x14ac:dyDescent="0.3">
      <c r="A27" s="45" t="s">
        <v>65</v>
      </c>
      <c r="B27" s="46" t="s">
        <v>452</v>
      </c>
      <c r="C27" s="44">
        <f>VLOOKUP(A27,'ESSER III Funding'!A34:G213,7,FALSE)</f>
        <v>328841</v>
      </c>
      <c r="D27" s="44">
        <v>0</v>
      </c>
    </row>
    <row r="28" spans="1:4" ht="18.75" x14ac:dyDescent="0.3">
      <c r="A28" s="45" t="s">
        <v>67</v>
      </c>
      <c r="B28" s="46" t="s">
        <v>68</v>
      </c>
      <c r="C28" s="44">
        <f>VLOOKUP(A28,'ESSER III Funding'!A35:G214,7,FALSE)</f>
        <v>7882813.0599999987</v>
      </c>
      <c r="D28" s="44">
        <v>0</v>
      </c>
    </row>
    <row r="29" spans="1:4" ht="18.75" x14ac:dyDescent="0.3">
      <c r="A29" s="45" t="s">
        <v>69</v>
      </c>
      <c r="B29" s="46" t="s">
        <v>70</v>
      </c>
      <c r="C29" s="44">
        <f>VLOOKUP(A29,'ESSER III Funding'!A36:G215,7,FALSE)</f>
        <v>9706945.4299999997</v>
      </c>
      <c r="D29" s="44">
        <f>VLOOKUP(A29,'Supplemental ESSER (5425)'!A18:G219,7,FALSE)</f>
        <v>0</v>
      </c>
    </row>
    <row r="30" spans="1:4" ht="18.75" x14ac:dyDescent="0.3">
      <c r="A30" s="45" t="s">
        <v>71</v>
      </c>
      <c r="B30" s="46" t="s">
        <v>72</v>
      </c>
      <c r="C30" s="44">
        <f>VLOOKUP(A30,'ESSER III Funding'!A37:G216,7,FALSE)</f>
        <v>509821.9</v>
      </c>
      <c r="D30" s="44">
        <v>0</v>
      </c>
    </row>
    <row r="31" spans="1:4" ht="18.75" x14ac:dyDescent="0.3">
      <c r="A31" s="45" t="s">
        <v>73</v>
      </c>
      <c r="B31" s="46" t="s">
        <v>74</v>
      </c>
      <c r="C31" s="44">
        <f>VLOOKUP(A31,'ESSER III Funding'!A38:G217,7,FALSE)</f>
        <v>873589.88</v>
      </c>
      <c r="D31" s="44">
        <v>0</v>
      </c>
    </row>
    <row r="32" spans="1:4" ht="18.75" x14ac:dyDescent="0.3">
      <c r="A32" s="45" t="s">
        <v>75</v>
      </c>
      <c r="B32" s="46" t="s">
        <v>76</v>
      </c>
      <c r="C32" s="44">
        <f>VLOOKUP(A32,'ESSER III Funding'!A39:G218,7,FALSE)</f>
        <v>69407.399999999994</v>
      </c>
      <c r="D32" s="44">
        <f>VLOOKUP(A32,'Supplemental ESSER (5425)'!A19:G222,7,FALSE)</f>
        <v>0</v>
      </c>
    </row>
    <row r="33" spans="1:4" ht="18.75" x14ac:dyDescent="0.3">
      <c r="A33" s="45" t="s">
        <v>77</v>
      </c>
      <c r="B33" s="46" t="s">
        <v>453</v>
      </c>
      <c r="C33" s="44">
        <f>VLOOKUP(A33,'ESSER III Funding'!A40:G219,7,FALSE)</f>
        <v>209363.58</v>
      </c>
      <c r="D33" s="44">
        <v>0</v>
      </c>
    </row>
    <row r="34" spans="1:4" ht="18.75" x14ac:dyDescent="0.3">
      <c r="A34" s="45" t="s">
        <v>79</v>
      </c>
      <c r="B34" s="46" t="s">
        <v>454</v>
      </c>
      <c r="C34" s="44">
        <f>VLOOKUP(A34,'ESSER III Funding'!A41:G220,7,FALSE)</f>
        <v>467090.58999999997</v>
      </c>
      <c r="D34" s="44">
        <v>0</v>
      </c>
    </row>
    <row r="35" spans="1:4" ht="18.75" x14ac:dyDescent="0.3">
      <c r="A35" s="45" t="s">
        <v>81</v>
      </c>
      <c r="B35" s="46" t="s">
        <v>455</v>
      </c>
      <c r="C35" s="44">
        <f>VLOOKUP(A35,'ESSER III Funding'!A42:G221,7,FALSE)</f>
        <v>1751795.83</v>
      </c>
      <c r="D35" s="44">
        <v>0</v>
      </c>
    </row>
    <row r="36" spans="1:4" ht="18.75" x14ac:dyDescent="0.3">
      <c r="A36" s="45" t="s">
        <v>83</v>
      </c>
      <c r="B36" s="46" t="s">
        <v>84</v>
      </c>
      <c r="C36" s="44">
        <f>VLOOKUP(A36,'ESSER III Funding'!A43:G222,7,FALSE)</f>
        <v>475269.27</v>
      </c>
      <c r="D36" s="44">
        <v>0</v>
      </c>
    </row>
    <row r="37" spans="1:4" ht="18.75" x14ac:dyDescent="0.3">
      <c r="A37" s="45" t="s">
        <v>85</v>
      </c>
      <c r="B37" s="46" t="s">
        <v>456</v>
      </c>
      <c r="C37" s="44">
        <f>VLOOKUP(A37,'ESSER III Funding'!A44:G223,7,FALSE)</f>
        <v>1069142</v>
      </c>
      <c r="D37" s="44">
        <v>0</v>
      </c>
    </row>
    <row r="38" spans="1:4" ht="18.75" x14ac:dyDescent="0.3">
      <c r="A38" s="45" t="s">
        <v>87</v>
      </c>
      <c r="B38" s="46" t="s">
        <v>88</v>
      </c>
      <c r="C38" s="44">
        <f>VLOOKUP(A38,'ESSER III Funding'!A45:G224,7,FALSE)</f>
        <v>1171360</v>
      </c>
      <c r="D38" s="44">
        <v>0</v>
      </c>
    </row>
    <row r="39" spans="1:4" ht="18.75" x14ac:dyDescent="0.3">
      <c r="A39" s="45" t="s">
        <v>89</v>
      </c>
      <c r="B39" s="46" t="s">
        <v>90</v>
      </c>
      <c r="C39" s="44">
        <f>VLOOKUP(A39,'ESSER III Funding'!A46:G225,7,FALSE)</f>
        <v>1234833</v>
      </c>
      <c r="D39" s="44">
        <v>0</v>
      </c>
    </row>
    <row r="40" spans="1:4" ht="18.75" x14ac:dyDescent="0.3">
      <c r="A40" s="45" t="s">
        <v>91</v>
      </c>
      <c r="B40" s="46" t="s">
        <v>457</v>
      </c>
      <c r="C40" s="44">
        <f>VLOOKUP(A40,'ESSER III Funding'!A47:G226,7,FALSE)</f>
        <v>1686601</v>
      </c>
      <c r="D40" s="44">
        <v>0</v>
      </c>
    </row>
    <row r="41" spans="1:4" ht="18.75" x14ac:dyDescent="0.3">
      <c r="A41" s="45" t="s">
        <v>93</v>
      </c>
      <c r="B41" s="46" t="s">
        <v>458</v>
      </c>
      <c r="C41" s="44">
        <f>VLOOKUP(A41,'ESSER III Funding'!A48:G227,7,FALSE)</f>
        <v>574187.29</v>
      </c>
      <c r="D41" s="44">
        <v>0</v>
      </c>
    </row>
    <row r="42" spans="1:4" ht="18.75" x14ac:dyDescent="0.3">
      <c r="A42" s="45" t="s">
        <v>95</v>
      </c>
      <c r="B42" s="46" t="s">
        <v>96</v>
      </c>
      <c r="C42" s="44">
        <f>VLOOKUP(A42,'ESSER III Funding'!A49:G228,7,FALSE)</f>
        <v>8021482.5199999996</v>
      </c>
      <c r="D42" s="44">
        <v>0</v>
      </c>
    </row>
    <row r="43" spans="1:4" ht="18.75" x14ac:dyDescent="0.3">
      <c r="A43" s="45" t="s">
        <v>97</v>
      </c>
      <c r="B43" s="46" t="s">
        <v>98</v>
      </c>
      <c r="C43" s="44">
        <f>VLOOKUP(A43,'ESSER III Funding'!A50:G229,7,FALSE)</f>
        <v>175816359.69999999</v>
      </c>
      <c r="D43" s="44">
        <f>VLOOKUP(A43,'Supplemental ESSER (5425)'!A20:G233,7,FALSE)</f>
        <v>0</v>
      </c>
    </row>
    <row r="44" spans="1:4" ht="18.75" x14ac:dyDescent="0.3">
      <c r="A44" s="45" t="s">
        <v>99</v>
      </c>
      <c r="B44" s="46" t="s">
        <v>459</v>
      </c>
      <c r="C44" s="44">
        <f>VLOOKUP(A44,'ESSER III Funding'!A51:G230,7,FALSE)</f>
        <v>319777</v>
      </c>
      <c r="D44" s="44">
        <v>0</v>
      </c>
    </row>
    <row r="45" spans="1:4" ht="18.75" x14ac:dyDescent="0.3">
      <c r="A45" s="45" t="s">
        <v>101</v>
      </c>
      <c r="B45" s="46" t="s">
        <v>460</v>
      </c>
      <c r="C45" s="44">
        <f>VLOOKUP(A45,'ESSER III Funding'!A52:G231,7,FALSE)</f>
        <v>2871488.0700000003</v>
      </c>
      <c r="D45" s="44">
        <v>0</v>
      </c>
    </row>
    <row r="46" spans="1:4" ht="18.75" x14ac:dyDescent="0.3">
      <c r="A46" s="45" t="s">
        <v>103</v>
      </c>
      <c r="B46" s="46" t="s">
        <v>104</v>
      </c>
      <c r="C46" s="44">
        <f>VLOOKUP(A46,'ESSER III Funding'!A53:G232,7,FALSE)</f>
        <v>2463046.0999999996</v>
      </c>
      <c r="D46" s="44">
        <v>0</v>
      </c>
    </row>
    <row r="47" spans="1:4" ht="18.75" x14ac:dyDescent="0.3">
      <c r="A47" s="45" t="s">
        <v>105</v>
      </c>
      <c r="B47" s="46" t="s">
        <v>106</v>
      </c>
      <c r="C47" s="44">
        <f>VLOOKUP(A47,'ESSER III Funding'!A54:G233,7,FALSE)</f>
        <v>361149.96000000008</v>
      </c>
      <c r="D47" s="44">
        <v>0</v>
      </c>
    </row>
    <row r="48" spans="1:4" ht="18.75" x14ac:dyDescent="0.3">
      <c r="A48" s="45" t="s">
        <v>107</v>
      </c>
      <c r="B48" s="46" t="s">
        <v>108</v>
      </c>
      <c r="C48" s="44">
        <f>VLOOKUP(A48,'ESSER III Funding'!A55:G234,7,FALSE)</f>
        <v>210771</v>
      </c>
      <c r="D48" s="44">
        <v>0</v>
      </c>
    </row>
    <row r="49" spans="1:4" ht="18.75" x14ac:dyDescent="0.3">
      <c r="A49" s="45" t="s">
        <v>109</v>
      </c>
      <c r="B49" s="46" t="s">
        <v>110</v>
      </c>
      <c r="C49" s="44">
        <f>VLOOKUP(A49,'ESSER III Funding'!A56:G235,7,FALSE)</f>
        <v>132352</v>
      </c>
      <c r="D49" s="44">
        <f>VLOOKUP(A49,'Supplemental ESSER (5425)'!A21:G239,7,FALSE)</f>
        <v>0</v>
      </c>
    </row>
    <row r="50" spans="1:4" ht="18.75" x14ac:dyDescent="0.3">
      <c r="A50" s="45" t="s">
        <v>111</v>
      </c>
      <c r="B50" s="46" t="s">
        <v>112</v>
      </c>
      <c r="C50" s="44">
        <f>VLOOKUP(A50,'ESSER III Funding'!A57:G236,7,FALSE)</f>
        <v>0</v>
      </c>
      <c r="D50" s="44">
        <v>0</v>
      </c>
    </row>
    <row r="51" spans="1:4" ht="18.75" x14ac:dyDescent="0.3">
      <c r="A51" s="45" t="s">
        <v>113</v>
      </c>
      <c r="B51" s="46" t="s">
        <v>114</v>
      </c>
      <c r="C51" s="44">
        <f>VLOOKUP(A51,'ESSER III Funding'!A58:G237,7,FALSE)</f>
        <v>0</v>
      </c>
      <c r="D51" s="44">
        <f>VLOOKUP(A51,'Supplemental ESSER (5425)'!A22:G241,7,FALSE)</f>
        <v>0</v>
      </c>
    </row>
    <row r="52" spans="1:4" ht="18.75" x14ac:dyDescent="0.3">
      <c r="A52" s="45" t="s">
        <v>115</v>
      </c>
      <c r="B52" s="46" t="s">
        <v>116</v>
      </c>
      <c r="C52" s="44">
        <f>VLOOKUP(A52,'ESSER III Funding'!A59:G238,7,FALSE)</f>
        <v>221713.95</v>
      </c>
      <c r="D52" s="44">
        <v>0</v>
      </c>
    </row>
    <row r="53" spans="1:4" ht="18.75" x14ac:dyDescent="0.3">
      <c r="A53" s="45" t="s">
        <v>117</v>
      </c>
      <c r="B53" s="46" t="s">
        <v>118</v>
      </c>
      <c r="C53" s="44">
        <f>VLOOKUP(A53,'ESSER III Funding'!A60:G239,7,FALSE)</f>
        <v>29194550.609999999</v>
      </c>
      <c r="D53" s="44">
        <v>0</v>
      </c>
    </row>
    <row r="54" spans="1:4" ht="18.75" x14ac:dyDescent="0.3">
      <c r="A54" s="45" t="s">
        <v>119</v>
      </c>
      <c r="B54" s="46" t="s">
        <v>120</v>
      </c>
      <c r="C54" s="44">
        <f>VLOOKUP(A54,'ESSER III Funding'!A61:G240,7,FALSE)</f>
        <v>9315423.3900000006</v>
      </c>
      <c r="D54" s="44">
        <v>0</v>
      </c>
    </row>
    <row r="55" spans="1:4" ht="18.75" x14ac:dyDescent="0.3">
      <c r="A55" s="45" t="s">
        <v>121</v>
      </c>
      <c r="B55" s="46" t="s">
        <v>122</v>
      </c>
      <c r="C55" s="44">
        <f>VLOOKUP(A55,'ESSER III Funding'!A62:G241,7,FALSE)</f>
        <v>4992087</v>
      </c>
      <c r="D55" s="44">
        <f>VLOOKUP(A55,'Supplemental ESSER (5425)'!A23:G245,7,FALSE)</f>
        <v>0</v>
      </c>
    </row>
    <row r="56" spans="1:4" ht="18.75" x14ac:dyDescent="0.3">
      <c r="A56" s="45" t="s">
        <v>123</v>
      </c>
      <c r="B56" s="46" t="s">
        <v>124</v>
      </c>
      <c r="C56" s="44">
        <f>VLOOKUP(A56,'ESSER III Funding'!A63:G242,7,FALSE)</f>
        <v>59877627.560000002</v>
      </c>
      <c r="D56" s="44">
        <f>VLOOKUP(A56,'Supplemental ESSER (5425)'!A24:G246,7,FALSE)</f>
        <v>0</v>
      </c>
    </row>
    <row r="57" spans="1:4" ht="18.75" x14ac:dyDescent="0.3">
      <c r="A57" s="45" t="s">
        <v>125</v>
      </c>
      <c r="B57" s="46" t="s">
        <v>126</v>
      </c>
      <c r="C57" s="44">
        <f>VLOOKUP(A57,'ESSER III Funding'!A64:G243,7,FALSE)</f>
        <v>1905346</v>
      </c>
      <c r="D57" s="44">
        <v>0</v>
      </c>
    </row>
    <row r="58" spans="1:4" ht="18.75" x14ac:dyDescent="0.3">
      <c r="A58" s="45" t="s">
        <v>127</v>
      </c>
      <c r="B58" s="46" t="s">
        <v>128</v>
      </c>
      <c r="C58" s="44">
        <f>VLOOKUP(A58,'ESSER III Funding'!A65:G244,7,FALSE)</f>
        <v>389924.83999999997</v>
      </c>
      <c r="D58" s="44">
        <v>0</v>
      </c>
    </row>
    <row r="59" spans="1:4" ht="18.75" x14ac:dyDescent="0.3">
      <c r="A59" s="45" t="s">
        <v>129</v>
      </c>
      <c r="B59" s="46" t="s">
        <v>130</v>
      </c>
      <c r="C59" s="44">
        <f>VLOOKUP(A59,'ESSER III Funding'!A66:G245,7,FALSE)</f>
        <v>6659433.3700000001</v>
      </c>
      <c r="D59" s="44">
        <v>0</v>
      </c>
    </row>
    <row r="60" spans="1:4" ht="18.75" x14ac:dyDescent="0.3">
      <c r="A60" s="45" t="s">
        <v>131</v>
      </c>
      <c r="B60" s="46" t="s">
        <v>132</v>
      </c>
      <c r="C60" s="44">
        <f>VLOOKUP(A60,'ESSER III Funding'!A67:G246,7,FALSE)</f>
        <v>0</v>
      </c>
      <c r="D60" s="44">
        <v>0</v>
      </c>
    </row>
    <row r="61" spans="1:4" ht="18.75" x14ac:dyDescent="0.3">
      <c r="A61" s="45" t="s">
        <v>133</v>
      </c>
      <c r="B61" s="46" t="s">
        <v>461</v>
      </c>
      <c r="C61" s="44">
        <f>VLOOKUP(A61,'ESSER III Funding'!A68:G247,7,FALSE)</f>
        <v>430116.94</v>
      </c>
      <c r="D61" s="44">
        <v>0</v>
      </c>
    </row>
    <row r="62" spans="1:4" ht="18.75" x14ac:dyDescent="0.3">
      <c r="A62" s="45" t="s">
        <v>135</v>
      </c>
      <c r="B62" s="46" t="s">
        <v>136</v>
      </c>
      <c r="C62" s="44">
        <f>VLOOKUP(A62,'ESSER III Funding'!A69:G248,7,FALSE)</f>
        <v>442168</v>
      </c>
      <c r="D62" s="44">
        <v>0</v>
      </c>
    </row>
    <row r="63" spans="1:4" ht="18.75" x14ac:dyDescent="0.3">
      <c r="A63" s="45" t="s">
        <v>137</v>
      </c>
      <c r="B63" s="46" t="s">
        <v>138</v>
      </c>
      <c r="C63" s="44">
        <f>VLOOKUP(A63,'ESSER III Funding'!A70:G249,7,FALSE)</f>
        <v>2087567.88</v>
      </c>
      <c r="D63" s="44">
        <v>0</v>
      </c>
    </row>
    <row r="64" spans="1:4" ht="18.75" x14ac:dyDescent="0.3">
      <c r="A64" s="45" t="s">
        <v>139</v>
      </c>
      <c r="B64" s="46" t="s">
        <v>140</v>
      </c>
      <c r="C64" s="44">
        <f>VLOOKUP(A64,'ESSER III Funding'!A71:G250,7,FALSE)</f>
        <v>12566537</v>
      </c>
      <c r="D64" s="44">
        <v>0</v>
      </c>
    </row>
    <row r="65" spans="1:4" ht="18.75" x14ac:dyDescent="0.3">
      <c r="A65" s="45" t="s">
        <v>141</v>
      </c>
      <c r="B65" s="46" t="s">
        <v>462</v>
      </c>
      <c r="C65" s="44">
        <f>VLOOKUP(A65,'ESSER III Funding'!A72:G251,7,FALSE)</f>
        <v>151469</v>
      </c>
      <c r="D65" s="44">
        <v>0</v>
      </c>
    </row>
    <row r="66" spans="1:4" ht="18.75" x14ac:dyDescent="0.3">
      <c r="A66" s="45" t="s">
        <v>143</v>
      </c>
      <c r="B66" s="46" t="s">
        <v>463</v>
      </c>
      <c r="C66" s="44">
        <f>VLOOKUP(A66,'ESSER III Funding'!A73:G252,7,FALSE)</f>
        <v>342043</v>
      </c>
      <c r="D66" s="44">
        <v>0</v>
      </c>
    </row>
    <row r="67" spans="1:4" ht="18.75" x14ac:dyDescent="0.3">
      <c r="A67" s="45" t="s">
        <v>145</v>
      </c>
      <c r="B67" s="46" t="s">
        <v>464</v>
      </c>
      <c r="C67" s="44">
        <f>VLOOKUP(A67,'ESSER III Funding'!A74:G253,7,FALSE)</f>
        <v>6191617.7400000002</v>
      </c>
      <c r="D67" s="44">
        <v>0</v>
      </c>
    </row>
    <row r="68" spans="1:4" ht="18.75" x14ac:dyDescent="0.3">
      <c r="A68" s="45" t="s">
        <v>147</v>
      </c>
      <c r="B68" s="46" t="s">
        <v>465</v>
      </c>
      <c r="C68" s="44">
        <f>VLOOKUP(A68,'ESSER III Funding'!A75:G254,7,FALSE)</f>
        <v>2098690.79</v>
      </c>
      <c r="D68" s="44">
        <v>0</v>
      </c>
    </row>
    <row r="69" spans="1:4" ht="18.75" x14ac:dyDescent="0.3">
      <c r="A69" s="45" t="s">
        <v>149</v>
      </c>
      <c r="B69" s="46" t="s">
        <v>466</v>
      </c>
      <c r="C69" s="44">
        <f>VLOOKUP(A69,'ESSER III Funding'!A76:G255,7,FALSE)</f>
        <v>575974</v>
      </c>
      <c r="D69" s="44">
        <v>0</v>
      </c>
    </row>
    <row r="70" spans="1:4" ht="18.75" x14ac:dyDescent="0.3">
      <c r="A70" s="45" t="s">
        <v>151</v>
      </c>
      <c r="B70" s="46" t="s">
        <v>467</v>
      </c>
      <c r="C70" s="44">
        <f>VLOOKUP(A70,'ESSER III Funding'!A77:G256,7,FALSE)</f>
        <v>4255955</v>
      </c>
      <c r="D70" s="44">
        <f>VLOOKUP(A70,'Supplemental ESSER (5425)'!A25:G260,7,FALSE)</f>
        <v>0</v>
      </c>
    </row>
    <row r="71" spans="1:4" ht="18.75" x14ac:dyDescent="0.3">
      <c r="A71" s="45" t="s">
        <v>153</v>
      </c>
      <c r="B71" s="46" t="s">
        <v>468</v>
      </c>
      <c r="C71" s="44">
        <f>VLOOKUP(A71,'ESSER III Funding'!A78:G257,7,FALSE)</f>
        <v>4520262</v>
      </c>
      <c r="D71" s="44">
        <f>VLOOKUP(A71,'Supplemental ESSER (5425)'!A26:G261,7,FALSE)</f>
        <v>0</v>
      </c>
    </row>
    <row r="72" spans="1:4" ht="18.75" x14ac:dyDescent="0.3">
      <c r="A72" s="45" t="s">
        <v>155</v>
      </c>
      <c r="B72" s="46" t="s">
        <v>156</v>
      </c>
      <c r="C72" s="44">
        <f>VLOOKUP(A72,'ESSER III Funding'!A79:G258,7,FALSE)</f>
        <v>1103531</v>
      </c>
      <c r="D72" s="44">
        <f>VLOOKUP(A72,'Supplemental ESSER (5425)'!A27:G262,7,FALSE)</f>
        <v>0</v>
      </c>
    </row>
    <row r="73" spans="1:4" ht="18.75" x14ac:dyDescent="0.3">
      <c r="A73" s="45" t="s">
        <v>157</v>
      </c>
      <c r="B73" s="46" t="s">
        <v>469</v>
      </c>
      <c r="C73" s="44">
        <f>VLOOKUP(A73,'ESSER III Funding'!A80:G259,7,FALSE)</f>
        <v>219276</v>
      </c>
      <c r="D73" s="44">
        <v>0</v>
      </c>
    </row>
    <row r="74" spans="1:4" ht="18.75" x14ac:dyDescent="0.3">
      <c r="A74" s="45" t="s">
        <v>159</v>
      </c>
      <c r="B74" s="46" t="s">
        <v>470</v>
      </c>
      <c r="C74" s="44">
        <f>VLOOKUP(A74,'ESSER III Funding'!A81:G260,7,FALSE)</f>
        <v>279953.65999999997</v>
      </c>
      <c r="D74" s="44">
        <v>0</v>
      </c>
    </row>
    <row r="75" spans="1:4" ht="18.75" x14ac:dyDescent="0.3">
      <c r="A75" s="45" t="s">
        <v>161</v>
      </c>
      <c r="B75" s="46" t="s">
        <v>162</v>
      </c>
      <c r="C75" s="44">
        <f>VLOOKUP(A75,'ESSER III Funding'!A82:G261,7,FALSE)</f>
        <v>739624.11</v>
      </c>
      <c r="D75" s="44">
        <v>0</v>
      </c>
    </row>
    <row r="76" spans="1:4" ht="18.75" x14ac:dyDescent="0.3">
      <c r="A76" s="45" t="s">
        <v>163</v>
      </c>
      <c r="B76" s="46" t="s">
        <v>164</v>
      </c>
      <c r="C76" s="44">
        <f>VLOOKUP(A76,'ESSER III Funding'!A83:G262,7,FALSE)</f>
        <v>1165877.6599999999</v>
      </c>
      <c r="D76" s="44">
        <v>0</v>
      </c>
    </row>
    <row r="77" spans="1:4" ht="18.75" x14ac:dyDescent="0.3">
      <c r="A77" s="45" t="s">
        <v>165</v>
      </c>
      <c r="B77" s="46" t="s">
        <v>166</v>
      </c>
      <c r="C77" s="44">
        <f>VLOOKUP(A77,'ESSER III Funding'!A84:G263,7,FALSE)</f>
        <v>131700.10999999999</v>
      </c>
      <c r="D77" s="44">
        <v>0</v>
      </c>
    </row>
    <row r="78" spans="1:4" ht="18.75" x14ac:dyDescent="0.3">
      <c r="A78" s="45" t="s">
        <v>167</v>
      </c>
      <c r="B78" s="46" t="s">
        <v>471</v>
      </c>
      <c r="C78" s="44">
        <f>VLOOKUP(A78,'ESSER III Funding'!A85:G264,7,FALSE)</f>
        <v>675397.14000000013</v>
      </c>
      <c r="D78" s="44">
        <v>0</v>
      </c>
    </row>
    <row r="79" spans="1:4" ht="18.75" x14ac:dyDescent="0.3">
      <c r="A79" s="45" t="s">
        <v>169</v>
      </c>
      <c r="B79" s="46" t="s">
        <v>472</v>
      </c>
      <c r="C79" s="44">
        <f>VLOOKUP(A79,'ESSER III Funding'!A86:G265,7,FALSE)</f>
        <v>301797.98</v>
      </c>
      <c r="D79" s="44">
        <v>0</v>
      </c>
    </row>
    <row r="80" spans="1:4" ht="18.75" x14ac:dyDescent="0.3">
      <c r="A80" s="45" t="s">
        <v>171</v>
      </c>
      <c r="B80" s="46" t="s">
        <v>172</v>
      </c>
      <c r="C80" s="44">
        <f>VLOOKUP(A80,'ESSER III Funding'!A87:G266,7,FALSE)</f>
        <v>331516</v>
      </c>
      <c r="D80" s="44">
        <v>0</v>
      </c>
    </row>
    <row r="81" spans="1:4" ht="18.75" x14ac:dyDescent="0.3">
      <c r="A81" s="45" t="s">
        <v>173</v>
      </c>
      <c r="B81" s="46" t="s">
        <v>174</v>
      </c>
      <c r="C81" s="44">
        <f>VLOOKUP(A81,'ESSER III Funding'!A88:G267,7,FALSE)</f>
        <v>68267154</v>
      </c>
      <c r="D81" s="44">
        <f>VLOOKUP(A81,'Supplemental ESSER (5425)'!A28:G271,7,FALSE)</f>
        <v>0</v>
      </c>
    </row>
    <row r="82" spans="1:4" ht="18.75" x14ac:dyDescent="0.3">
      <c r="A82" s="45" t="s">
        <v>175</v>
      </c>
      <c r="B82" s="46" t="s">
        <v>473</v>
      </c>
      <c r="C82" s="44">
        <f>VLOOKUP(A82,'ESSER III Funding'!A89:G268,7,FALSE)</f>
        <v>199497.60000000001</v>
      </c>
      <c r="D82" s="44">
        <f>VLOOKUP(A82,'Supplemental ESSER (5425)'!A29:G272,7,FALSE)</f>
        <v>0</v>
      </c>
    </row>
    <row r="83" spans="1:4" ht="18.75" x14ac:dyDescent="0.3">
      <c r="A83" s="45" t="s">
        <v>177</v>
      </c>
      <c r="B83" s="46" t="s">
        <v>474</v>
      </c>
      <c r="C83" s="44">
        <f>VLOOKUP(A83,'ESSER III Funding'!A90:G269,7,FALSE)</f>
        <v>134145</v>
      </c>
      <c r="D83" s="44">
        <f>VLOOKUP(A83,'Supplemental ESSER (5425)'!A30:G273,7,FALSE)</f>
        <v>0</v>
      </c>
    </row>
    <row r="84" spans="1:4" ht="18.75" x14ac:dyDescent="0.3">
      <c r="A84" s="45" t="s">
        <v>179</v>
      </c>
      <c r="B84" s="46" t="s">
        <v>180</v>
      </c>
      <c r="C84" s="44">
        <f>VLOOKUP(A84,'ESSER III Funding'!A91:G270,7,FALSE)</f>
        <v>162</v>
      </c>
      <c r="D84" s="44">
        <v>0</v>
      </c>
    </row>
    <row r="85" spans="1:4" ht="18.75" x14ac:dyDescent="0.3">
      <c r="A85" s="45" t="s">
        <v>181</v>
      </c>
      <c r="B85" s="46" t="s">
        <v>182</v>
      </c>
      <c r="C85" s="44">
        <f>VLOOKUP(A85,'ESSER III Funding'!A92:G271,7,FALSE)</f>
        <v>277104.21999999997</v>
      </c>
      <c r="D85" s="44">
        <f>VLOOKUP(A85,'Supplemental ESSER (5425)'!A31:G275,7,FALSE)</f>
        <v>0</v>
      </c>
    </row>
    <row r="86" spans="1:4" ht="18.75" x14ac:dyDescent="0.3">
      <c r="A86" s="45" t="s">
        <v>183</v>
      </c>
      <c r="B86" s="46" t="s">
        <v>184</v>
      </c>
      <c r="C86" s="44">
        <f>VLOOKUP(A86,'ESSER III Funding'!A93:G272,7,FALSE)</f>
        <v>129854.57</v>
      </c>
      <c r="D86" s="44">
        <v>0</v>
      </c>
    </row>
    <row r="87" spans="1:4" ht="18.75" x14ac:dyDescent="0.3">
      <c r="A87" s="45" t="s">
        <v>185</v>
      </c>
      <c r="B87" s="46" t="s">
        <v>186</v>
      </c>
      <c r="C87" s="44">
        <f>VLOOKUP(A87,'ESSER III Funding'!A94:G273,7,FALSE)</f>
        <v>89467</v>
      </c>
      <c r="D87" s="44">
        <f>VLOOKUP(A87,'Supplemental ESSER (5425)'!A32:G277,7,FALSE)</f>
        <v>0</v>
      </c>
    </row>
    <row r="88" spans="1:4" ht="18.75" x14ac:dyDescent="0.3">
      <c r="A88" s="45" t="s">
        <v>187</v>
      </c>
      <c r="B88" s="46" t="s">
        <v>475</v>
      </c>
      <c r="C88" s="44">
        <f>VLOOKUP(A88,'ESSER III Funding'!A95:G274,7,FALSE)</f>
        <v>1251242.6200000001</v>
      </c>
      <c r="D88" s="44">
        <v>0</v>
      </c>
    </row>
    <row r="89" spans="1:4" ht="18.75" x14ac:dyDescent="0.3">
      <c r="A89" s="45" t="s">
        <v>189</v>
      </c>
      <c r="B89" s="46" t="s">
        <v>190</v>
      </c>
      <c r="C89" s="44">
        <f>VLOOKUP(A89,'ESSER III Funding'!A96:G275,7,FALSE)</f>
        <v>1142045.8700000001</v>
      </c>
      <c r="D89" s="44">
        <v>0</v>
      </c>
    </row>
    <row r="90" spans="1:4" ht="18.75" x14ac:dyDescent="0.3">
      <c r="A90" s="45" t="s">
        <v>191</v>
      </c>
      <c r="B90" s="46" t="s">
        <v>192</v>
      </c>
      <c r="C90" s="44">
        <f>VLOOKUP(A90,'ESSER III Funding'!A97:G276,7,FALSE)</f>
        <v>4436284</v>
      </c>
      <c r="D90" s="44">
        <f>VLOOKUP(A90,'Supplemental ESSER (5425)'!A33:G280,7,FALSE)</f>
        <v>0</v>
      </c>
    </row>
    <row r="91" spans="1:4" ht="18.75" x14ac:dyDescent="0.3">
      <c r="A91" s="45" t="s">
        <v>193</v>
      </c>
      <c r="B91" s="46" t="s">
        <v>194</v>
      </c>
      <c r="C91" s="44">
        <f>VLOOKUP(A91,'ESSER III Funding'!A98:G277,7,FALSE)</f>
        <v>528580.63</v>
      </c>
      <c r="D91" s="44">
        <f>VLOOKUP(A91,'Supplemental ESSER (5425)'!A34:G281,7,FALSE)</f>
        <v>0</v>
      </c>
    </row>
    <row r="92" spans="1:4" ht="18.75" x14ac:dyDescent="0.3">
      <c r="A92" s="45" t="s">
        <v>195</v>
      </c>
      <c r="B92" s="46" t="s">
        <v>476</v>
      </c>
      <c r="C92" s="44">
        <f>VLOOKUP(A92,'ESSER III Funding'!A99:G278,7,FALSE)</f>
        <v>864350</v>
      </c>
      <c r="D92" s="44">
        <f>VLOOKUP(A92,'Supplemental ESSER (5425)'!A35:G282,7,FALSE)</f>
        <v>0</v>
      </c>
    </row>
    <row r="93" spans="1:4" ht="18.75" x14ac:dyDescent="0.3">
      <c r="A93" s="45" t="s">
        <v>197</v>
      </c>
      <c r="B93" s="46" t="s">
        <v>198</v>
      </c>
      <c r="C93" s="44">
        <f>VLOOKUP(A93,'ESSER III Funding'!A100:G279,7,FALSE)</f>
        <v>5461310.290000001</v>
      </c>
      <c r="D93" s="44">
        <v>0</v>
      </c>
    </row>
    <row r="94" spans="1:4" ht="18.75" x14ac:dyDescent="0.3">
      <c r="A94" s="45" t="s">
        <v>199</v>
      </c>
      <c r="B94" s="46" t="s">
        <v>477</v>
      </c>
      <c r="C94" s="44">
        <f>VLOOKUP(A94,'ESSER III Funding'!A101:G280,7,FALSE)</f>
        <v>9493045.3900000006</v>
      </c>
      <c r="D94" s="44">
        <v>0</v>
      </c>
    </row>
    <row r="95" spans="1:4" ht="18.75" x14ac:dyDescent="0.3">
      <c r="A95" s="45" t="s">
        <v>201</v>
      </c>
      <c r="B95" s="46" t="s">
        <v>478</v>
      </c>
      <c r="C95" s="44">
        <f>VLOOKUP(A95,'ESSER III Funding'!A102:G281,7,FALSE)</f>
        <v>1952447.39</v>
      </c>
      <c r="D95" s="44">
        <v>0</v>
      </c>
    </row>
    <row r="96" spans="1:4" ht="18.75" x14ac:dyDescent="0.3">
      <c r="A96" s="45" t="s">
        <v>203</v>
      </c>
      <c r="B96" s="46" t="s">
        <v>204</v>
      </c>
      <c r="C96" s="44">
        <f>VLOOKUP(A96,'ESSER III Funding'!A103:G282,7,FALSE)</f>
        <v>2125793.2400000002</v>
      </c>
      <c r="D96" s="44">
        <v>0</v>
      </c>
    </row>
    <row r="97" spans="1:4" ht="18.75" x14ac:dyDescent="0.3">
      <c r="A97" s="45" t="s">
        <v>205</v>
      </c>
      <c r="B97" s="46" t="s">
        <v>206</v>
      </c>
      <c r="C97" s="44">
        <f>VLOOKUP(A97,'ESSER III Funding'!A104:G283,7,FALSE)</f>
        <v>86540.239999999991</v>
      </c>
      <c r="D97" s="44">
        <v>0</v>
      </c>
    </row>
    <row r="98" spans="1:4" ht="18.75" x14ac:dyDescent="0.3">
      <c r="A98" s="45" t="s">
        <v>207</v>
      </c>
      <c r="B98" s="46" t="s">
        <v>208</v>
      </c>
      <c r="C98" s="44">
        <f>VLOOKUP(A98,'ESSER III Funding'!A105:G284,7,FALSE)</f>
        <v>624832</v>
      </c>
      <c r="D98" s="44">
        <v>0</v>
      </c>
    </row>
    <row r="99" spans="1:4" ht="18.75" x14ac:dyDescent="0.3">
      <c r="A99" s="45" t="s">
        <v>209</v>
      </c>
      <c r="B99" s="46" t="s">
        <v>479</v>
      </c>
      <c r="C99" s="44">
        <f>VLOOKUP(A99,'ESSER III Funding'!A106:G285,7,FALSE)</f>
        <v>277797</v>
      </c>
      <c r="D99" s="44">
        <v>0</v>
      </c>
    </row>
    <row r="100" spans="1:4" ht="18.75" x14ac:dyDescent="0.3">
      <c r="A100" s="45" t="s">
        <v>211</v>
      </c>
      <c r="B100" s="46" t="s">
        <v>212</v>
      </c>
      <c r="C100" s="44">
        <f>VLOOKUP(A100,'ESSER III Funding'!A107:G286,7,FALSE)</f>
        <v>1198.1300000000047</v>
      </c>
      <c r="D100" s="44">
        <f>VLOOKUP(A100,'Supplemental ESSER (5425)'!A36:G290,7,FALSE)</f>
        <v>0</v>
      </c>
    </row>
    <row r="101" spans="1:4" ht="18.75" x14ac:dyDescent="0.3">
      <c r="A101" s="45" t="s">
        <v>213</v>
      </c>
      <c r="B101" s="46" t="s">
        <v>214</v>
      </c>
      <c r="C101" s="44">
        <f>VLOOKUP(A101,'ESSER III Funding'!A108:G287,7,FALSE)</f>
        <v>10085</v>
      </c>
      <c r="D101" s="44">
        <f>VLOOKUP(A101,'Supplemental ESSER (5425)'!A37:G291,7,FALSE)</f>
        <v>0</v>
      </c>
    </row>
    <row r="102" spans="1:4" ht="18.75" x14ac:dyDescent="0.3">
      <c r="A102" s="45" t="s">
        <v>215</v>
      </c>
      <c r="B102" s="46" t="s">
        <v>216</v>
      </c>
      <c r="C102" s="44">
        <f>VLOOKUP(A102,'ESSER III Funding'!A109:G288,7,FALSE)</f>
        <v>91329.73000000001</v>
      </c>
      <c r="D102" s="44">
        <v>0</v>
      </c>
    </row>
    <row r="103" spans="1:4" ht="18.75" x14ac:dyDescent="0.3">
      <c r="A103" s="45" t="s">
        <v>217</v>
      </c>
      <c r="B103" s="46" t="s">
        <v>480</v>
      </c>
      <c r="C103" s="44">
        <f>VLOOKUP(A103,'ESSER III Funding'!A110:G289,7,FALSE)</f>
        <v>779399</v>
      </c>
      <c r="D103" s="44">
        <v>0</v>
      </c>
    </row>
    <row r="104" spans="1:4" ht="18.75" x14ac:dyDescent="0.3">
      <c r="A104" s="45" t="s">
        <v>219</v>
      </c>
      <c r="B104" s="46" t="s">
        <v>481</v>
      </c>
      <c r="C104" s="44">
        <f>VLOOKUP(A104,'ESSER III Funding'!A111:G290,7,FALSE)</f>
        <v>132737.47</v>
      </c>
      <c r="D104" s="44">
        <f>VLOOKUP(A104,'Supplemental ESSER (5425)'!A38:G294,7,FALSE)</f>
        <v>0</v>
      </c>
    </row>
    <row r="105" spans="1:4" ht="18.75" x14ac:dyDescent="0.3">
      <c r="A105" s="45" t="s">
        <v>221</v>
      </c>
      <c r="B105" s="46" t="s">
        <v>482</v>
      </c>
      <c r="C105" s="44">
        <f>VLOOKUP(A105,'ESSER III Funding'!A112:G291,7,FALSE)</f>
        <v>3344310</v>
      </c>
      <c r="D105" s="44">
        <v>0</v>
      </c>
    </row>
    <row r="106" spans="1:4" ht="18.75" x14ac:dyDescent="0.3">
      <c r="A106" s="45" t="s">
        <v>223</v>
      </c>
      <c r="B106" s="46" t="s">
        <v>483</v>
      </c>
      <c r="C106" s="44">
        <f>VLOOKUP(A106,'ESSER III Funding'!A113:G292,7,FALSE)</f>
        <v>154311.20000000001</v>
      </c>
      <c r="D106" s="44">
        <f>VLOOKUP(A106,'Supplemental ESSER (5425)'!A39:G296,7,FALSE)</f>
        <v>0</v>
      </c>
    </row>
    <row r="107" spans="1:4" ht="18.75" x14ac:dyDescent="0.3">
      <c r="A107" s="45" t="s">
        <v>225</v>
      </c>
      <c r="B107" s="46" t="s">
        <v>484</v>
      </c>
      <c r="C107" s="44">
        <f>VLOOKUP(A107,'ESSER III Funding'!A114:G293,7,FALSE)</f>
        <v>125108</v>
      </c>
      <c r="D107" s="44">
        <v>0</v>
      </c>
    </row>
    <row r="108" spans="1:4" ht="18.75" x14ac:dyDescent="0.3">
      <c r="A108" s="45" t="s">
        <v>227</v>
      </c>
      <c r="B108" s="46" t="s">
        <v>485</v>
      </c>
      <c r="C108" s="44">
        <f>VLOOKUP(A108,'ESSER III Funding'!A115:G294,7,FALSE)</f>
        <v>32647</v>
      </c>
      <c r="D108" s="44">
        <f>VLOOKUP(A108,'Supplemental ESSER (5425)'!A40:G298,7,FALSE)</f>
        <v>0</v>
      </c>
    </row>
    <row r="109" spans="1:4" ht="18.75" x14ac:dyDescent="0.3">
      <c r="A109" s="45" t="s">
        <v>229</v>
      </c>
      <c r="B109" s="46" t="s">
        <v>486</v>
      </c>
      <c r="C109" s="44">
        <f>VLOOKUP(A109,'ESSER III Funding'!A116:G295,7,FALSE)</f>
        <v>126686</v>
      </c>
      <c r="D109" s="44">
        <f>VLOOKUP(A109,'Supplemental ESSER (5425)'!A41:G299,7,FALSE)</f>
        <v>0</v>
      </c>
    </row>
    <row r="110" spans="1:4" ht="18.75" x14ac:dyDescent="0.3">
      <c r="A110" s="45" t="s">
        <v>231</v>
      </c>
      <c r="B110" s="46" t="s">
        <v>232</v>
      </c>
      <c r="C110" s="44">
        <f>VLOOKUP(A110,'ESSER III Funding'!A117:G296,7,FALSE)</f>
        <v>435640.72</v>
      </c>
      <c r="D110" s="44">
        <f>VLOOKUP(A110,'Supplemental ESSER (5425)'!A42:G300,7,FALSE)</f>
        <v>0</v>
      </c>
    </row>
    <row r="111" spans="1:4" ht="18.75" x14ac:dyDescent="0.3">
      <c r="A111" s="45" t="s">
        <v>233</v>
      </c>
      <c r="B111" s="46" t="s">
        <v>234</v>
      </c>
      <c r="C111" s="44">
        <f>VLOOKUP(A111,'ESSER III Funding'!A118:G297,7,FALSE)</f>
        <v>31050806.27</v>
      </c>
      <c r="D111" s="44">
        <v>0</v>
      </c>
    </row>
    <row r="112" spans="1:4" ht="18.75" x14ac:dyDescent="0.3">
      <c r="A112" s="45" t="s">
        <v>235</v>
      </c>
      <c r="B112" s="46" t="s">
        <v>487</v>
      </c>
      <c r="C112" s="44">
        <f>VLOOKUP(A112,'ESSER III Funding'!A119:G298,7,FALSE)</f>
        <v>52064.78</v>
      </c>
      <c r="D112" s="44">
        <f>VLOOKUP(A112,'Supplemental ESSER (5425)'!A43:G302,7,FALSE)</f>
        <v>0</v>
      </c>
    </row>
    <row r="113" spans="1:4" ht="18.75" x14ac:dyDescent="0.3">
      <c r="A113" s="45" t="s">
        <v>237</v>
      </c>
      <c r="B113" s="46" t="s">
        <v>488</v>
      </c>
      <c r="C113" s="44">
        <f>VLOOKUP(A113,'ESSER III Funding'!A120:G299,7,FALSE)</f>
        <v>2923098</v>
      </c>
      <c r="D113" s="44">
        <f>VLOOKUP(A113,'Supplemental ESSER (5425)'!A44:G303,7,FALSE)</f>
        <v>0</v>
      </c>
    </row>
    <row r="114" spans="1:4" ht="18.75" x14ac:dyDescent="0.3">
      <c r="A114" s="45" t="s">
        <v>239</v>
      </c>
      <c r="B114" s="46" t="s">
        <v>489</v>
      </c>
      <c r="C114" s="44">
        <f>VLOOKUP(A114,'ESSER III Funding'!A121:G300,7,FALSE)</f>
        <v>9751290</v>
      </c>
      <c r="D114" s="44">
        <f>VLOOKUP(A114,'Supplemental ESSER (5425)'!A45:G304,7,FALSE)</f>
        <v>0</v>
      </c>
    </row>
    <row r="115" spans="1:4" ht="18.75" x14ac:dyDescent="0.3">
      <c r="A115" s="45" t="s">
        <v>241</v>
      </c>
      <c r="B115" s="46" t="s">
        <v>490</v>
      </c>
      <c r="C115" s="44">
        <f>VLOOKUP(A115,'ESSER III Funding'!A122:G301,7,FALSE)</f>
        <v>589058</v>
      </c>
      <c r="D115" s="44">
        <v>0</v>
      </c>
    </row>
    <row r="116" spans="1:4" ht="18.75" x14ac:dyDescent="0.3">
      <c r="A116" s="45" t="s">
        <v>243</v>
      </c>
      <c r="B116" s="46" t="s">
        <v>491</v>
      </c>
      <c r="C116" s="44">
        <f>VLOOKUP(A116,'ESSER III Funding'!A123:G302,7,FALSE)</f>
        <v>80318.359999999986</v>
      </c>
      <c r="D116" s="44">
        <v>0</v>
      </c>
    </row>
    <row r="117" spans="1:4" ht="18.75" x14ac:dyDescent="0.3">
      <c r="A117" s="45" t="s">
        <v>245</v>
      </c>
      <c r="B117" s="46" t="s">
        <v>492</v>
      </c>
      <c r="C117" s="44">
        <f>VLOOKUP(A117,'ESSER III Funding'!A124:G303,7,FALSE)</f>
        <v>8260477.2800000003</v>
      </c>
      <c r="D117" s="44">
        <f>VLOOKUP(A117,'Supplemental ESSER (5425)'!A46:G307,7,FALSE)</f>
        <v>0</v>
      </c>
    </row>
    <row r="118" spans="1:4" ht="18.75" x14ac:dyDescent="0.3">
      <c r="A118" s="45" t="s">
        <v>247</v>
      </c>
      <c r="B118" s="46" t="s">
        <v>493</v>
      </c>
      <c r="C118" s="44">
        <f>VLOOKUP(A118,'ESSER III Funding'!A125:G304,7,FALSE)</f>
        <v>396702.34</v>
      </c>
      <c r="D118" s="44">
        <v>0</v>
      </c>
    </row>
    <row r="119" spans="1:4" ht="18.75" x14ac:dyDescent="0.3">
      <c r="A119" s="45" t="s">
        <v>249</v>
      </c>
      <c r="B119" s="46" t="s">
        <v>494</v>
      </c>
      <c r="C119" s="44">
        <f>VLOOKUP(A119,'ESSER III Funding'!A126:G305,7,FALSE)</f>
        <v>1123661.1599999999</v>
      </c>
      <c r="D119" s="44">
        <f>VLOOKUP(A119,'Supplemental ESSER (5425)'!A47:G309,7,FALSE)</f>
        <v>0</v>
      </c>
    </row>
    <row r="120" spans="1:4" ht="18.75" x14ac:dyDescent="0.3">
      <c r="A120" s="45" t="s">
        <v>251</v>
      </c>
      <c r="B120" s="46" t="s">
        <v>495</v>
      </c>
      <c r="C120" s="44">
        <f>VLOOKUP(A120,'ESSER III Funding'!A127:G306,7,FALSE)</f>
        <v>3197557.23</v>
      </c>
      <c r="D120" s="44">
        <f>VLOOKUP(A120,'Supplemental ESSER (5425)'!A48:G310,7,FALSE)</f>
        <v>0</v>
      </c>
    </row>
    <row r="121" spans="1:4" ht="18.75" x14ac:dyDescent="0.3">
      <c r="A121" s="45" t="s">
        <v>253</v>
      </c>
      <c r="B121" s="46" t="s">
        <v>496</v>
      </c>
      <c r="C121" s="44">
        <f>VLOOKUP(A121,'ESSER III Funding'!A128:G307,7,FALSE)</f>
        <v>117858.45</v>
      </c>
      <c r="D121" s="44">
        <f>VLOOKUP(A121,'Supplemental ESSER (5425)'!A49:G311,7,FALSE)</f>
        <v>0</v>
      </c>
    </row>
    <row r="122" spans="1:4" ht="18.75" x14ac:dyDescent="0.3">
      <c r="A122" s="45" t="s">
        <v>255</v>
      </c>
      <c r="B122" s="46" t="s">
        <v>497</v>
      </c>
      <c r="C122" s="44">
        <f>VLOOKUP(A122,'ESSER III Funding'!A129:G308,7,FALSE)</f>
        <v>511846.43</v>
      </c>
      <c r="D122" s="44">
        <v>0</v>
      </c>
    </row>
    <row r="123" spans="1:4" ht="18.75" x14ac:dyDescent="0.3">
      <c r="A123" s="45" t="s">
        <v>257</v>
      </c>
      <c r="B123" s="46" t="s">
        <v>258</v>
      </c>
      <c r="C123" s="44">
        <f>VLOOKUP(A123,'ESSER III Funding'!A130:G309,7,FALSE)</f>
        <v>2416186.84</v>
      </c>
      <c r="D123" s="44">
        <v>0</v>
      </c>
    </row>
    <row r="124" spans="1:4" ht="18.75" x14ac:dyDescent="0.3">
      <c r="A124" s="45" t="s">
        <v>259</v>
      </c>
      <c r="B124" s="46" t="s">
        <v>260</v>
      </c>
      <c r="C124" s="44">
        <f>VLOOKUP(A124,'ESSER III Funding'!A131:G310,7,FALSE)</f>
        <v>1473461.18</v>
      </c>
      <c r="D124" s="44">
        <v>0</v>
      </c>
    </row>
    <row r="125" spans="1:4" ht="18.75" x14ac:dyDescent="0.3">
      <c r="A125" s="45" t="s">
        <v>261</v>
      </c>
      <c r="B125" s="46" t="s">
        <v>262</v>
      </c>
      <c r="C125" s="44">
        <f>VLOOKUP(A125,'ESSER III Funding'!A132:G311,7,FALSE)</f>
        <v>360214.8</v>
      </c>
      <c r="D125" s="44">
        <v>0</v>
      </c>
    </row>
    <row r="126" spans="1:4" ht="18.75" x14ac:dyDescent="0.3">
      <c r="A126" s="45" t="s">
        <v>263</v>
      </c>
      <c r="B126" s="46" t="s">
        <v>264</v>
      </c>
      <c r="C126" s="44">
        <f>VLOOKUP(A126,'ESSER III Funding'!A133:G312,7,FALSE)</f>
        <v>706336</v>
      </c>
      <c r="D126" s="44">
        <v>0</v>
      </c>
    </row>
    <row r="127" spans="1:4" ht="18.75" x14ac:dyDescent="0.3">
      <c r="A127" s="45" t="s">
        <v>265</v>
      </c>
      <c r="B127" s="46" t="s">
        <v>266</v>
      </c>
      <c r="C127" s="44">
        <f>VLOOKUP(A127,'ESSER III Funding'!A134:G313,7,FALSE)</f>
        <v>23510.670000000013</v>
      </c>
      <c r="D127" s="44">
        <v>0</v>
      </c>
    </row>
    <row r="128" spans="1:4" ht="18.75" x14ac:dyDescent="0.3">
      <c r="A128" s="45" t="s">
        <v>267</v>
      </c>
      <c r="B128" s="46" t="s">
        <v>268</v>
      </c>
      <c r="C128" s="44">
        <f>VLOOKUP(A128,'ESSER III Funding'!A135:G314,7,FALSE)</f>
        <v>450365.44</v>
      </c>
      <c r="D128" s="44">
        <v>0</v>
      </c>
    </row>
    <row r="129" spans="1:4" ht="18.75" x14ac:dyDescent="0.3">
      <c r="A129" s="45" t="s">
        <v>269</v>
      </c>
      <c r="B129" s="46" t="s">
        <v>270</v>
      </c>
      <c r="C129" s="44">
        <f>VLOOKUP(A129,'ESSER III Funding'!A136:G315,7,FALSE)</f>
        <v>60344.259999999995</v>
      </c>
      <c r="D129" s="44">
        <v>0</v>
      </c>
    </row>
    <row r="130" spans="1:4" ht="18.75" x14ac:dyDescent="0.3">
      <c r="A130" s="45" t="s">
        <v>271</v>
      </c>
      <c r="B130" s="46" t="s">
        <v>272</v>
      </c>
      <c r="C130" s="44">
        <f>VLOOKUP(A130,'ESSER III Funding'!A137:G316,7,FALSE)</f>
        <v>10700.380000000005</v>
      </c>
      <c r="D130" s="44">
        <v>0</v>
      </c>
    </row>
    <row r="131" spans="1:4" ht="18.75" x14ac:dyDescent="0.3">
      <c r="A131" s="45" t="s">
        <v>273</v>
      </c>
      <c r="B131" s="46" t="s">
        <v>274</v>
      </c>
      <c r="C131" s="44">
        <f>VLOOKUP(A131,'ESSER III Funding'!A138:G317,7,FALSE)</f>
        <v>713256.88</v>
      </c>
      <c r="D131" s="44">
        <v>0</v>
      </c>
    </row>
    <row r="132" spans="1:4" ht="18.75" x14ac:dyDescent="0.3">
      <c r="A132" s="45" t="s">
        <v>275</v>
      </c>
      <c r="B132" s="46" t="s">
        <v>498</v>
      </c>
      <c r="C132" s="44">
        <f>VLOOKUP(A132,'ESSER III Funding'!A139:G318,7,FALSE)</f>
        <v>785254</v>
      </c>
      <c r="D132" s="44">
        <v>0</v>
      </c>
    </row>
    <row r="133" spans="1:4" ht="18.75" x14ac:dyDescent="0.3">
      <c r="A133" s="45" t="s">
        <v>277</v>
      </c>
      <c r="B133" s="46" t="s">
        <v>499</v>
      </c>
      <c r="C133" s="44">
        <f>VLOOKUP(A133,'ESSER III Funding'!A140:G319,7,FALSE)</f>
        <v>228896.71999999997</v>
      </c>
      <c r="D133" s="44">
        <v>0</v>
      </c>
    </row>
    <row r="134" spans="1:4" ht="18.75" x14ac:dyDescent="0.3">
      <c r="A134" s="45" t="s">
        <v>279</v>
      </c>
      <c r="B134" s="46" t="s">
        <v>500</v>
      </c>
      <c r="C134" s="44">
        <f>VLOOKUP(A134,'ESSER III Funding'!A141:G320,7,FALSE)</f>
        <v>334994</v>
      </c>
      <c r="D134" s="44">
        <v>0</v>
      </c>
    </row>
    <row r="135" spans="1:4" ht="18.75" x14ac:dyDescent="0.3">
      <c r="A135" s="45" t="s">
        <v>281</v>
      </c>
      <c r="B135" s="46" t="s">
        <v>282</v>
      </c>
      <c r="C135" s="44">
        <f>VLOOKUP(A135,'ESSER III Funding'!A142:G321,7,FALSE)</f>
        <v>252235</v>
      </c>
      <c r="D135" s="44">
        <v>0</v>
      </c>
    </row>
    <row r="136" spans="1:4" ht="18.75" x14ac:dyDescent="0.3">
      <c r="A136" s="45" t="s">
        <v>283</v>
      </c>
      <c r="B136" s="46" t="s">
        <v>501</v>
      </c>
      <c r="C136" s="44">
        <f>VLOOKUP(A136,'ESSER III Funding'!A143:G322,7,FALSE)</f>
        <v>528334</v>
      </c>
      <c r="D136" s="44">
        <v>0</v>
      </c>
    </row>
    <row r="137" spans="1:4" ht="18.75" x14ac:dyDescent="0.3">
      <c r="A137" s="45" t="s">
        <v>285</v>
      </c>
      <c r="B137" s="46" t="s">
        <v>502</v>
      </c>
      <c r="C137" s="44">
        <f>VLOOKUP(A137,'ESSER III Funding'!A144:G323,7,FALSE)</f>
        <v>3742239</v>
      </c>
      <c r="D137" s="44">
        <v>0</v>
      </c>
    </row>
    <row r="138" spans="1:4" ht="18.75" x14ac:dyDescent="0.3">
      <c r="A138" s="45" t="s">
        <v>287</v>
      </c>
      <c r="B138" s="46" t="s">
        <v>503</v>
      </c>
      <c r="C138" s="44">
        <f>VLOOKUP(A138,'ESSER III Funding'!A145:G324,7,FALSE)</f>
        <v>506836.58999999997</v>
      </c>
      <c r="D138" s="44">
        <v>0</v>
      </c>
    </row>
    <row r="139" spans="1:4" ht="18.75" x14ac:dyDescent="0.3">
      <c r="A139" s="45" t="s">
        <v>289</v>
      </c>
      <c r="B139" s="46" t="s">
        <v>504</v>
      </c>
      <c r="C139" s="44">
        <f>VLOOKUP(A139,'ESSER III Funding'!A146:G325,7,FALSE)</f>
        <v>152457.18</v>
      </c>
      <c r="D139" s="44">
        <v>0</v>
      </c>
    </row>
    <row r="140" spans="1:4" ht="18.75" x14ac:dyDescent="0.3">
      <c r="A140" s="45" t="s">
        <v>291</v>
      </c>
      <c r="B140" s="46" t="s">
        <v>292</v>
      </c>
      <c r="C140" s="44">
        <f>VLOOKUP(A140,'ESSER III Funding'!A147:G326,7,FALSE)</f>
        <v>41629913.450000003</v>
      </c>
      <c r="D140" s="44">
        <v>0</v>
      </c>
    </row>
    <row r="141" spans="1:4" ht="18.75" x14ac:dyDescent="0.3">
      <c r="A141" s="45" t="s">
        <v>293</v>
      </c>
      <c r="B141" s="46" t="s">
        <v>505</v>
      </c>
      <c r="C141" s="44">
        <f>VLOOKUP(A141,'ESSER III Funding'!A148:G327,7,FALSE)</f>
        <v>3378734.42</v>
      </c>
      <c r="D141" s="44">
        <f>VLOOKUP(A141,'Supplemental ESSER (5425)'!A50:G331,7,FALSE)</f>
        <v>0</v>
      </c>
    </row>
    <row r="142" spans="1:4" ht="18.75" x14ac:dyDescent="0.3">
      <c r="A142" s="45" t="s">
        <v>295</v>
      </c>
      <c r="B142" s="46" t="s">
        <v>296</v>
      </c>
      <c r="C142" s="44">
        <f>VLOOKUP(A142,'ESSER III Funding'!A149:G328,7,FALSE)</f>
        <v>352456.87</v>
      </c>
      <c r="D142" s="44">
        <v>0</v>
      </c>
    </row>
    <row r="143" spans="1:4" ht="18.75" x14ac:dyDescent="0.3">
      <c r="A143" s="45" t="s">
        <v>297</v>
      </c>
      <c r="B143" s="46" t="s">
        <v>506</v>
      </c>
      <c r="C143" s="44">
        <f>VLOOKUP(A143,'ESSER III Funding'!A150:G329,7,FALSE)</f>
        <v>179653.87</v>
      </c>
      <c r="D143" s="44">
        <v>0</v>
      </c>
    </row>
    <row r="144" spans="1:4" ht="18.75" x14ac:dyDescent="0.3">
      <c r="A144" s="45" t="s">
        <v>299</v>
      </c>
      <c r="B144" s="46" t="s">
        <v>300</v>
      </c>
      <c r="C144" s="44">
        <f>VLOOKUP(A144,'ESSER III Funding'!A151:G330,7,FALSE)</f>
        <v>927457.45</v>
      </c>
      <c r="D144" s="44">
        <v>0</v>
      </c>
    </row>
    <row r="145" spans="1:4" ht="18.75" x14ac:dyDescent="0.3">
      <c r="A145" s="45" t="s">
        <v>301</v>
      </c>
      <c r="B145" s="46" t="s">
        <v>302</v>
      </c>
      <c r="C145" s="44">
        <f>VLOOKUP(A145,'ESSER III Funding'!A152:G331,7,FALSE)</f>
        <v>1622200</v>
      </c>
      <c r="D145" s="44">
        <v>0</v>
      </c>
    </row>
    <row r="146" spans="1:4" ht="18.75" x14ac:dyDescent="0.3">
      <c r="A146" s="45" t="s">
        <v>303</v>
      </c>
      <c r="B146" s="46" t="s">
        <v>507</v>
      </c>
      <c r="C146" s="44">
        <f>VLOOKUP(A146,'ESSER III Funding'!A153:G332,7,FALSE)</f>
        <v>208690.93</v>
      </c>
      <c r="D146" s="44">
        <v>0</v>
      </c>
    </row>
    <row r="147" spans="1:4" ht="18.75" x14ac:dyDescent="0.3">
      <c r="A147" s="45" t="s">
        <v>305</v>
      </c>
      <c r="B147" s="46" t="s">
        <v>508</v>
      </c>
      <c r="C147" s="44">
        <f>VLOOKUP(A147,'ESSER III Funding'!A154:G333,7,FALSE)</f>
        <v>0</v>
      </c>
      <c r="D147" s="44">
        <v>0</v>
      </c>
    </row>
    <row r="148" spans="1:4" ht="18.75" x14ac:dyDescent="0.3">
      <c r="A148" s="45" t="s">
        <v>307</v>
      </c>
      <c r="B148" s="46" t="s">
        <v>509</v>
      </c>
      <c r="C148" s="44">
        <f>VLOOKUP(A148,'ESSER III Funding'!A155:G334,7,FALSE)</f>
        <v>1376632</v>
      </c>
      <c r="D148" s="44">
        <v>0</v>
      </c>
    </row>
    <row r="149" spans="1:4" ht="18.75" x14ac:dyDescent="0.3">
      <c r="A149" s="45" t="s">
        <v>309</v>
      </c>
      <c r="B149" s="46" t="s">
        <v>310</v>
      </c>
      <c r="C149" s="44">
        <f>VLOOKUP(A149,'ESSER III Funding'!A156:G335,7,FALSE)</f>
        <v>534356.99</v>
      </c>
      <c r="D149" s="44">
        <v>0</v>
      </c>
    </row>
    <row r="150" spans="1:4" ht="18.75" x14ac:dyDescent="0.3">
      <c r="A150" s="45" t="s">
        <v>311</v>
      </c>
      <c r="B150" s="46" t="s">
        <v>312</v>
      </c>
      <c r="C150" s="44">
        <f>VLOOKUP(A150,'ESSER III Funding'!A157:G336,7,FALSE)</f>
        <v>613366</v>
      </c>
      <c r="D150" s="44">
        <v>0</v>
      </c>
    </row>
    <row r="151" spans="1:4" ht="18.75" x14ac:dyDescent="0.3">
      <c r="A151" s="45" t="s">
        <v>313</v>
      </c>
      <c r="B151" s="46" t="s">
        <v>314</v>
      </c>
      <c r="C151" s="44">
        <f>VLOOKUP(A151,'ESSER III Funding'!A158:G337,7,FALSE)</f>
        <v>907765.91999999993</v>
      </c>
      <c r="D151" s="44">
        <v>0</v>
      </c>
    </row>
    <row r="152" spans="1:4" ht="18.75" x14ac:dyDescent="0.3">
      <c r="A152" s="45" t="s">
        <v>315</v>
      </c>
      <c r="B152" s="46" t="s">
        <v>510</v>
      </c>
      <c r="C152" s="44">
        <f>VLOOKUP(A152,'ESSER III Funding'!A159:G338,7,FALSE)</f>
        <v>661324.96</v>
      </c>
      <c r="D152" s="44">
        <v>0</v>
      </c>
    </row>
    <row r="153" spans="1:4" ht="18.75" x14ac:dyDescent="0.3">
      <c r="A153" s="45" t="s">
        <v>317</v>
      </c>
      <c r="B153" s="46" t="s">
        <v>318</v>
      </c>
      <c r="C153" s="44">
        <f>VLOOKUP(A153,'ESSER III Funding'!A160:G339,7,FALSE)</f>
        <v>32500</v>
      </c>
      <c r="D153" s="44">
        <f>VLOOKUP(A153,'Supplemental ESSER (5425)'!A51:G343,7,FALSE)</f>
        <v>0</v>
      </c>
    </row>
    <row r="154" spans="1:4" ht="18.75" x14ac:dyDescent="0.3">
      <c r="A154" s="45" t="s">
        <v>319</v>
      </c>
      <c r="B154" s="46" t="s">
        <v>320</v>
      </c>
      <c r="C154" s="44">
        <f>VLOOKUP(A154,'ESSER III Funding'!A161:G340,7,FALSE)</f>
        <v>364814</v>
      </c>
      <c r="D154" s="44">
        <v>0</v>
      </c>
    </row>
    <row r="155" spans="1:4" ht="18.75" x14ac:dyDescent="0.3">
      <c r="A155" s="45" t="s">
        <v>321</v>
      </c>
      <c r="B155" s="46" t="s">
        <v>322</v>
      </c>
      <c r="C155" s="44">
        <f>VLOOKUP(A155,'ESSER III Funding'!A162:G341,7,FALSE)</f>
        <v>88863.050000000017</v>
      </c>
      <c r="D155" s="44">
        <v>0</v>
      </c>
    </row>
    <row r="156" spans="1:4" ht="18.75" x14ac:dyDescent="0.3">
      <c r="A156" s="45" t="s">
        <v>323</v>
      </c>
      <c r="B156" s="46" t="s">
        <v>511</v>
      </c>
      <c r="C156" s="44">
        <f>VLOOKUP(A156,'ESSER III Funding'!A163:G342,7,FALSE)</f>
        <v>1110853</v>
      </c>
      <c r="D156" s="44">
        <f>VLOOKUP(A156,'Supplemental ESSER (5425)'!A52:G346,7,FALSE)</f>
        <v>0</v>
      </c>
    </row>
    <row r="157" spans="1:4" ht="18.75" x14ac:dyDescent="0.3">
      <c r="A157" s="45" t="s">
        <v>325</v>
      </c>
      <c r="B157" s="46" t="s">
        <v>326</v>
      </c>
      <c r="C157" s="44">
        <f>VLOOKUP(A157,'ESSER III Funding'!A164:G343,7,FALSE)</f>
        <v>0</v>
      </c>
      <c r="D157" s="44">
        <f>VLOOKUP(A157,'Supplemental ESSER (5425)'!A53:G347,7,FALSE)</f>
        <v>0</v>
      </c>
    </row>
    <row r="158" spans="1:4" ht="18.75" x14ac:dyDescent="0.3">
      <c r="A158" s="45" t="s">
        <v>327</v>
      </c>
      <c r="B158" s="46" t="s">
        <v>512</v>
      </c>
      <c r="C158" s="44">
        <f>VLOOKUP(A158,'ESSER III Funding'!A165:G344,7,FALSE)</f>
        <v>897456</v>
      </c>
      <c r="D158" s="44">
        <v>0</v>
      </c>
    </row>
    <row r="159" spans="1:4" ht="18.75" x14ac:dyDescent="0.3">
      <c r="A159" s="45" t="s">
        <v>329</v>
      </c>
      <c r="B159" s="46" t="s">
        <v>513</v>
      </c>
      <c r="C159" s="44">
        <f>VLOOKUP(A159,'ESSER III Funding'!A166:G345,7,FALSE)</f>
        <v>679050</v>
      </c>
      <c r="D159" s="44">
        <v>0</v>
      </c>
    </row>
    <row r="160" spans="1:4" ht="18.75" x14ac:dyDescent="0.3">
      <c r="A160" s="45" t="s">
        <v>331</v>
      </c>
      <c r="B160" s="46" t="s">
        <v>514</v>
      </c>
      <c r="C160" s="44">
        <f>VLOOKUP(A160,'ESSER III Funding'!A167:G346,7,FALSE)</f>
        <v>1553713.6600000001</v>
      </c>
      <c r="D160" s="44">
        <v>0</v>
      </c>
    </row>
    <row r="161" spans="1:4" ht="18.75" x14ac:dyDescent="0.3">
      <c r="A161" s="45" t="s">
        <v>333</v>
      </c>
      <c r="B161" s="46" t="s">
        <v>334</v>
      </c>
      <c r="C161" s="44">
        <f>VLOOKUP(A161,'ESSER III Funding'!A168:G347,7,FALSE)</f>
        <v>504070.40000000002</v>
      </c>
      <c r="D161" s="44">
        <v>0</v>
      </c>
    </row>
    <row r="162" spans="1:4" ht="18.75" x14ac:dyDescent="0.3">
      <c r="A162" s="45" t="s">
        <v>335</v>
      </c>
      <c r="B162" s="46" t="s">
        <v>336</v>
      </c>
      <c r="C162" s="44">
        <f>VLOOKUP(A162,'ESSER III Funding'!A169:G348,7,FALSE)</f>
        <v>134953</v>
      </c>
      <c r="D162" s="44">
        <f>VLOOKUP(A162,'Supplemental ESSER (5425)'!A54:G352,7,FALSE)</f>
        <v>0</v>
      </c>
    </row>
    <row r="163" spans="1:4" ht="18.75" x14ac:dyDescent="0.3">
      <c r="A163" s="45" t="s">
        <v>337</v>
      </c>
      <c r="B163" s="46" t="s">
        <v>338</v>
      </c>
      <c r="C163" s="44">
        <f>VLOOKUP(A163,'ESSER III Funding'!A170:G349,7,FALSE)</f>
        <v>42046.110000000015</v>
      </c>
      <c r="D163" s="44">
        <f>VLOOKUP(A163,'Supplemental ESSER (5425)'!A55:G353,7,FALSE)</f>
        <v>0</v>
      </c>
    </row>
    <row r="164" spans="1:4" ht="18.75" x14ac:dyDescent="0.3">
      <c r="A164" s="45" t="s">
        <v>339</v>
      </c>
      <c r="B164" s="46" t="s">
        <v>340</v>
      </c>
      <c r="C164" s="44">
        <f>VLOOKUP(A164,'ESSER III Funding'!A171:G350,7,FALSE)</f>
        <v>0</v>
      </c>
      <c r="D164" s="44">
        <f>VLOOKUP(A164,'Supplemental ESSER (5425)'!A56:G354,7,FALSE)</f>
        <v>0</v>
      </c>
    </row>
    <row r="165" spans="1:4" ht="18.75" x14ac:dyDescent="0.3">
      <c r="A165" s="45" t="s">
        <v>341</v>
      </c>
      <c r="B165" s="46" t="s">
        <v>342</v>
      </c>
      <c r="C165" s="44">
        <f>VLOOKUP(A165,'ESSER III Funding'!A172:G351,7,FALSE)</f>
        <v>103442</v>
      </c>
      <c r="D165" s="44">
        <f>VLOOKUP(A165,'Supplemental ESSER (5425)'!A57:G355,7,FALSE)</f>
        <v>0</v>
      </c>
    </row>
    <row r="166" spans="1:4" ht="18.75" x14ac:dyDescent="0.3">
      <c r="A166" s="45" t="s">
        <v>343</v>
      </c>
      <c r="B166" s="46" t="s">
        <v>515</v>
      </c>
      <c r="C166" s="44">
        <f>VLOOKUP(A166,'ESSER III Funding'!A173:G352,7,FALSE)</f>
        <v>1862643.13</v>
      </c>
      <c r="D166" s="44">
        <v>0</v>
      </c>
    </row>
    <row r="167" spans="1:4" ht="18.75" x14ac:dyDescent="0.3">
      <c r="A167" s="45" t="s">
        <v>345</v>
      </c>
      <c r="B167" s="46" t="s">
        <v>516</v>
      </c>
      <c r="C167" s="44">
        <f>VLOOKUP(A167,'ESSER III Funding'!A174:G353,7,FALSE)</f>
        <v>696990.4</v>
      </c>
      <c r="D167" s="44">
        <v>0</v>
      </c>
    </row>
    <row r="168" spans="1:4" ht="18.75" x14ac:dyDescent="0.3">
      <c r="A168" s="45" t="s">
        <v>347</v>
      </c>
      <c r="B168" s="46" t="s">
        <v>348</v>
      </c>
      <c r="C168" s="44">
        <f>VLOOKUP(A168,'ESSER III Funding'!A175:G354,7,FALSE)</f>
        <v>4021680</v>
      </c>
      <c r="D168" s="44">
        <v>0</v>
      </c>
    </row>
    <row r="169" spans="1:4" ht="18.75" x14ac:dyDescent="0.3">
      <c r="A169" s="45" t="s">
        <v>349</v>
      </c>
      <c r="B169" s="46" t="s">
        <v>517</v>
      </c>
      <c r="C169" s="44">
        <f>VLOOKUP(A169,'ESSER III Funding'!A176:G355,7,FALSE)</f>
        <v>784438.71</v>
      </c>
      <c r="D169" s="44">
        <v>0</v>
      </c>
    </row>
    <row r="170" spans="1:4" ht="18.75" x14ac:dyDescent="0.3">
      <c r="A170" s="45" t="s">
        <v>351</v>
      </c>
      <c r="B170" s="46" t="s">
        <v>518</v>
      </c>
      <c r="C170" s="44">
        <f>VLOOKUP(A170,'ESSER III Funding'!A177:G356,7,FALSE)</f>
        <v>1273906.7200000002</v>
      </c>
      <c r="D170" s="44">
        <v>0</v>
      </c>
    </row>
    <row r="171" spans="1:4" ht="18.75" x14ac:dyDescent="0.3">
      <c r="A171" s="45" t="s">
        <v>353</v>
      </c>
      <c r="B171" s="46" t="s">
        <v>354</v>
      </c>
      <c r="C171" s="44">
        <f>VLOOKUP(A171,'ESSER III Funding'!A178:G357,7,FALSE)</f>
        <v>35062958.399999999</v>
      </c>
      <c r="D171" s="44">
        <v>0</v>
      </c>
    </row>
    <row r="172" spans="1:4" ht="18.75" x14ac:dyDescent="0.3">
      <c r="A172" s="45" t="s">
        <v>355</v>
      </c>
      <c r="B172" s="46" t="s">
        <v>519</v>
      </c>
      <c r="C172" s="44">
        <f>VLOOKUP(A172,'ESSER III Funding'!A179:G358,7,FALSE)</f>
        <v>825550</v>
      </c>
      <c r="D172" s="44">
        <f>VLOOKUP(A172,'Supplemental ESSER (5425)'!A58:G362,7,FALSE)</f>
        <v>0</v>
      </c>
    </row>
    <row r="173" spans="1:4" ht="18.75" x14ac:dyDescent="0.3">
      <c r="A173" s="45" t="s">
        <v>357</v>
      </c>
      <c r="B173" s="46" t="s">
        <v>520</v>
      </c>
      <c r="C173" s="44">
        <f>VLOOKUP(A173,'ESSER III Funding'!A180:G359,7,FALSE)</f>
        <v>2735039.68</v>
      </c>
      <c r="D173" s="44">
        <v>0</v>
      </c>
    </row>
    <row r="174" spans="1:4" ht="18.75" x14ac:dyDescent="0.3">
      <c r="A174" s="45" t="s">
        <v>359</v>
      </c>
      <c r="B174" s="46" t="s">
        <v>521</v>
      </c>
      <c r="C174" s="44">
        <f>VLOOKUP(A174,'ESSER III Funding'!A181:G360,7,FALSE)</f>
        <v>315655.05999999994</v>
      </c>
      <c r="D174" s="44">
        <v>0</v>
      </c>
    </row>
    <row r="175" spans="1:4" ht="18.75" x14ac:dyDescent="0.3">
      <c r="A175" s="45" t="s">
        <v>361</v>
      </c>
      <c r="B175" s="46" t="s">
        <v>522</v>
      </c>
      <c r="C175" s="44">
        <f>VLOOKUP(A175,'ESSER III Funding'!A182:G361,7,FALSE)</f>
        <v>0</v>
      </c>
      <c r="D175" s="44">
        <f>VLOOKUP(A175,'Supplemental ESSER (5425)'!A59:G365,7,FALSE)</f>
        <v>0</v>
      </c>
    </row>
    <row r="176" spans="1:4" ht="18.75" x14ac:dyDescent="0.3">
      <c r="A176" s="45" t="s">
        <v>363</v>
      </c>
      <c r="B176" s="46" t="s">
        <v>364</v>
      </c>
      <c r="C176" s="44">
        <f>VLOOKUP(A176,'ESSER III Funding'!A183:G362,7,FALSE)</f>
        <v>0</v>
      </c>
      <c r="D176" s="44">
        <f>VLOOKUP(A176,'Supplemental ESSER (5425)'!A60:G366,7,FALSE)</f>
        <v>0</v>
      </c>
    </row>
    <row r="177" spans="1:4" ht="18.75" x14ac:dyDescent="0.3">
      <c r="A177" s="45" t="s">
        <v>365</v>
      </c>
      <c r="B177" s="46" t="s">
        <v>523</v>
      </c>
      <c r="C177" s="44">
        <f>VLOOKUP(A177,'ESSER III Funding'!A184:G363,7,FALSE)</f>
        <v>211227</v>
      </c>
      <c r="D177" s="44">
        <f>VLOOKUP(A177,'Supplemental ESSER (5425)'!A61:G367,7,FALSE)</f>
        <v>0</v>
      </c>
    </row>
    <row r="178" spans="1:4" ht="18.75" x14ac:dyDescent="0.3">
      <c r="A178" s="45" t="s">
        <v>367</v>
      </c>
      <c r="B178" s="46" t="s">
        <v>368</v>
      </c>
      <c r="C178" s="44">
        <f>VLOOKUP(A178,'ESSER III Funding'!A185:G364,7,FALSE)</f>
        <v>958417.94</v>
      </c>
      <c r="D178" s="44">
        <v>0</v>
      </c>
    </row>
    <row r="179" spans="1:4" ht="18.75" x14ac:dyDescent="0.3">
      <c r="A179" s="45" t="s">
        <v>369</v>
      </c>
      <c r="B179" s="46" t="s">
        <v>370</v>
      </c>
      <c r="C179" s="44">
        <f>VLOOKUP(A179,'ESSER III Funding'!A186:G365,7,FALSE)</f>
        <v>678660</v>
      </c>
      <c r="D179" s="44">
        <v>0</v>
      </c>
    </row>
    <row r="180" spans="1:4" ht="18.75" x14ac:dyDescent="0.3">
      <c r="A180" s="45" t="s">
        <v>371</v>
      </c>
      <c r="B180" s="46" t="s">
        <v>372</v>
      </c>
      <c r="C180" s="44">
        <f>VLOOKUP(A180,'ESSER III Funding'!A187:G366,7,FALSE)</f>
        <v>199333.53</v>
      </c>
      <c r="D180" s="44">
        <f>VLOOKUP(A180,'Supplemental ESSER (5425)'!A61:G370,7,FALSE)</f>
        <v>0</v>
      </c>
    </row>
    <row r="181" spans="1:4" ht="18.75" x14ac:dyDescent="0.3">
      <c r="A181" s="45" t="s">
        <v>373</v>
      </c>
      <c r="B181" s="46" t="s">
        <v>374</v>
      </c>
      <c r="C181" s="44">
        <f>VLOOKUP(A181,'ESSER III Funding'!A188:G367,7,FALSE)</f>
        <v>6113</v>
      </c>
      <c r="D181" s="44">
        <f>VLOOKUP(A181,'Supplemental ESSER (5425)'!A62:G371,7,FALSE)</f>
        <v>0</v>
      </c>
    </row>
    <row r="182" spans="1:4" ht="18.75" x14ac:dyDescent="0.3">
      <c r="A182" s="47" t="s">
        <v>375</v>
      </c>
      <c r="B182" s="46" t="s">
        <v>524</v>
      </c>
      <c r="C182" s="44">
        <f>VLOOKUP(A182,'ESSER III Funding'!A189:G368,7,FALSE)</f>
        <v>5843350.7300000004</v>
      </c>
      <c r="D182" s="44">
        <v>0</v>
      </c>
    </row>
    <row r="183" spans="1:4" ht="18.75" x14ac:dyDescent="0.3">
      <c r="A183" s="45" t="s">
        <v>377</v>
      </c>
      <c r="B183" s="46" t="s">
        <v>525</v>
      </c>
      <c r="C183" s="44">
        <f>VLOOKUP(A183,'ESSER III Funding'!A190:G369,7,FALSE)</f>
        <v>400547</v>
      </c>
      <c r="D183" s="44">
        <v>0</v>
      </c>
    </row>
    <row r="184" spans="1:4" ht="18.75" x14ac:dyDescent="0.3">
      <c r="A184" s="48" t="s">
        <v>403</v>
      </c>
      <c r="B184" s="49" t="s">
        <v>404</v>
      </c>
      <c r="C184" s="44">
        <v>0</v>
      </c>
      <c r="D184" s="44">
        <f>VLOOKUP(A184,'Supplemental ESSER (5425)'!A70:G374,7,FALSE)</f>
        <v>0</v>
      </c>
    </row>
    <row r="185" spans="1:4" ht="18.75" x14ac:dyDescent="0.3">
      <c r="A185" s="48">
        <v>9030</v>
      </c>
      <c r="B185" s="49" t="s">
        <v>407</v>
      </c>
      <c r="C185" s="44">
        <v>0</v>
      </c>
      <c r="D185" s="44">
        <f>'Supplemental ESSER (5425)'!G71</f>
        <v>0</v>
      </c>
    </row>
    <row r="186" spans="1:4" ht="18.75" x14ac:dyDescent="0.3">
      <c r="A186" s="48" t="s">
        <v>408</v>
      </c>
      <c r="B186" s="49" t="s">
        <v>526</v>
      </c>
      <c r="C186" s="44">
        <v>0</v>
      </c>
      <c r="D186" s="44">
        <f>VLOOKUP(A186,'Supplemental ESSER (5425)'!A72:G376,7,FALSE)</f>
        <v>0</v>
      </c>
    </row>
    <row r="187" spans="1:4" ht="18.75" x14ac:dyDescent="0.3">
      <c r="A187" s="48" t="s">
        <v>405</v>
      </c>
      <c r="B187" s="50" t="s">
        <v>410</v>
      </c>
      <c r="C187" s="44">
        <v>0</v>
      </c>
      <c r="D187" s="44">
        <f>VLOOKUP(A187,'Supplemental ESSER (5425)'!A73:G377,7,FALSE)</f>
        <v>0</v>
      </c>
    </row>
    <row r="188" spans="1:4" ht="18.75" x14ac:dyDescent="0.3">
      <c r="A188" s="48">
        <v>9045</v>
      </c>
      <c r="B188" s="50" t="s">
        <v>412</v>
      </c>
      <c r="C188" s="44">
        <v>0</v>
      </c>
      <c r="D188" s="44">
        <f>'Supplemental ESSER (5425)'!G74</f>
        <v>0</v>
      </c>
    </row>
    <row r="189" spans="1:4" ht="18.75" x14ac:dyDescent="0.3">
      <c r="A189" s="48" t="s">
        <v>413</v>
      </c>
      <c r="B189" s="50" t="s">
        <v>414</v>
      </c>
      <c r="C189" s="44">
        <v>0</v>
      </c>
      <c r="D189" s="44">
        <f>VLOOKUP(A189,'Supplemental ESSER (5425)'!A75:G379,7,FALSE)</f>
        <v>0</v>
      </c>
    </row>
    <row r="190" spans="1:4" ht="18.75" x14ac:dyDescent="0.3">
      <c r="A190" s="48" t="s">
        <v>415</v>
      </c>
      <c r="B190" s="50" t="s">
        <v>416</v>
      </c>
      <c r="C190" s="44">
        <v>0</v>
      </c>
      <c r="D190" s="44">
        <f>VLOOKUP(A190,'Supplemental ESSER (5425)'!A76:G380,7,FALSE)</f>
        <v>0</v>
      </c>
    </row>
    <row r="191" spans="1:4" ht="18.75" x14ac:dyDescent="0.3">
      <c r="A191" s="48" t="s">
        <v>417</v>
      </c>
      <c r="B191" s="50" t="s">
        <v>418</v>
      </c>
      <c r="C191" s="44">
        <v>0</v>
      </c>
      <c r="D191" s="44">
        <f>VLOOKUP(A191,'Supplemental ESSER (5425)'!A77:G381,7,FALSE)</f>
        <v>0</v>
      </c>
    </row>
    <row r="192" spans="1:4" ht="18.75" x14ac:dyDescent="0.3">
      <c r="A192" s="48" t="s">
        <v>419</v>
      </c>
      <c r="B192" s="50" t="s">
        <v>420</v>
      </c>
      <c r="C192" s="44">
        <v>0</v>
      </c>
      <c r="D192" s="44">
        <f>VLOOKUP(A192,'Supplemental ESSER (5425)'!A78:G382,7,FALSE)</f>
        <v>0</v>
      </c>
    </row>
    <row r="193" spans="1:4" ht="18.75" x14ac:dyDescent="0.3">
      <c r="A193" s="48" t="s">
        <v>421</v>
      </c>
      <c r="B193" s="50" t="s">
        <v>422</v>
      </c>
      <c r="C193" s="44">
        <v>0</v>
      </c>
      <c r="D193" s="44">
        <f>VLOOKUP(A193,'Supplemental ESSER (5425)'!A79:G383,7,FALSE)</f>
        <v>0</v>
      </c>
    </row>
    <row r="194" spans="1:4" ht="18.75" x14ac:dyDescent="0.3">
      <c r="A194" s="48" t="s">
        <v>423</v>
      </c>
      <c r="B194" s="50" t="s">
        <v>424</v>
      </c>
      <c r="C194" s="44">
        <v>0</v>
      </c>
      <c r="D194" s="44">
        <f>VLOOKUP(A194,'Supplemental ESSER (5425)'!A80:G384,7,FALSE)</f>
        <v>0</v>
      </c>
    </row>
    <row r="195" spans="1:4" ht="18.75" x14ac:dyDescent="0.3">
      <c r="A195" s="48" t="s">
        <v>530</v>
      </c>
      <c r="B195" s="50" t="s">
        <v>426</v>
      </c>
      <c r="C195" s="44">
        <v>0</v>
      </c>
      <c r="D195" s="44">
        <f>'Supplemental ESSER (5425)'!G81</f>
        <v>0</v>
      </c>
    </row>
    <row r="196" spans="1:4" ht="18.75" x14ac:dyDescent="0.3">
      <c r="A196" s="48" t="s">
        <v>427</v>
      </c>
      <c r="B196" s="50" t="s">
        <v>428</v>
      </c>
      <c r="C196" s="44">
        <v>0</v>
      </c>
      <c r="D196" s="44">
        <f>VLOOKUP(A196,'Supplemental ESSER (5425)'!A82:G386,7,FALSE)</f>
        <v>0</v>
      </c>
    </row>
    <row r="197" spans="1:4" ht="18.75" x14ac:dyDescent="0.3">
      <c r="A197" s="48" t="s">
        <v>429</v>
      </c>
      <c r="B197" s="50" t="s">
        <v>528</v>
      </c>
      <c r="C197" s="44">
        <v>0</v>
      </c>
      <c r="D197" s="44">
        <f>VLOOKUP(A197,'Supplemental ESSER (5425)'!A83:G387,7,FALSE)</f>
        <v>0</v>
      </c>
    </row>
    <row r="198" spans="1:4" ht="18.75" x14ac:dyDescent="0.3">
      <c r="A198" s="48" t="s">
        <v>431</v>
      </c>
      <c r="B198" s="50" t="s">
        <v>432</v>
      </c>
      <c r="C198" s="44">
        <v>0</v>
      </c>
      <c r="D198" s="44">
        <f>VLOOKUP(A198,'Supplemental ESSER (5425)'!A84:G388,7,FALSE)</f>
        <v>0</v>
      </c>
    </row>
    <row r="199" spans="1:4" ht="18.75" x14ac:dyDescent="0.3">
      <c r="A199" s="48" t="s">
        <v>433</v>
      </c>
      <c r="B199" s="50" t="s">
        <v>434</v>
      </c>
      <c r="C199" s="44">
        <v>0</v>
      </c>
      <c r="D199" s="44">
        <f>VLOOKUP(A199,'Supplemental ESSER (5425)'!A85:G389,7,FALSE)</f>
        <v>0</v>
      </c>
    </row>
    <row r="200" spans="1:4" ht="18.75" x14ac:dyDescent="0.3">
      <c r="A200" s="48" t="s">
        <v>435</v>
      </c>
      <c r="B200" s="50" t="s">
        <v>436</v>
      </c>
      <c r="C200" s="44">
        <v>0</v>
      </c>
      <c r="D200" s="44">
        <f>VLOOKUP(A200,'Supplemental ESSER (5425)'!A86:G390,7,FALSE)</f>
        <v>0</v>
      </c>
    </row>
    <row r="201" spans="1:4" ht="18.75" x14ac:dyDescent="0.3">
      <c r="A201" s="48" t="s">
        <v>439</v>
      </c>
      <c r="B201" s="50" t="s">
        <v>401</v>
      </c>
      <c r="C201" s="44">
        <v>0</v>
      </c>
      <c r="D201" s="44">
        <f>'Supplemental ESSER (5425)'!G66</f>
        <v>0</v>
      </c>
    </row>
    <row r="202" spans="1:4" ht="18.75" x14ac:dyDescent="0.3">
      <c r="A202" s="48" t="s">
        <v>529</v>
      </c>
      <c r="B202" s="50" t="s">
        <v>402</v>
      </c>
      <c r="C202" s="55">
        <v>0</v>
      </c>
      <c r="D202" s="55">
        <f>'Supplemental ESSER (5425)'!G67</f>
        <v>0</v>
      </c>
    </row>
    <row r="203" spans="1:4" x14ac:dyDescent="0.25">
      <c r="C203" s="52"/>
      <c r="D203" s="52"/>
    </row>
    <row r="204" spans="1:4" ht="18.75" x14ac:dyDescent="0.3">
      <c r="C204" s="44">
        <f>SUM(C4:C203)</f>
        <v>818314574.55000007</v>
      </c>
      <c r="D204" s="44">
        <f>SUM(D4:D203)</f>
        <v>0</v>
      </c>
    </row>
    <row r="205" spans="1:4" x14ac:dyDescent="0.25">
      <c r="C205" s="52"/>
      <c r="D205" s="52"/>
    </row>
    <row r="206" spans="1:4" x14ac:dyDescent="0.25">
      <c r="C206" s="52"/>
      <c r="D206" s="52"/>
    </row>
    <row r="207" spans="1:4" x14ac:dyDescent="0.25">
      <c r="C207" s="52"/>
      <c r="D207" s="52"/>
    </row>
    <row r="208" spans="1:4" x14ac:dyDescent="0.25">
      <c r="C208" s="52"/>
      <c r="D208" s="52"/>
    </row>
    <row r="209" spans="3:4" x14ac:dyDescent="0.25">
      <c r="C209" s="52"/>
      <c r="D209" s="52"/>
    </row>
    <row r="210" spans="3:4" x14ac:dyDescent="0.25">
      <c r="C210" s="52"/>
      <c r="D210" s="52"/>
    </row>
    <row r="211" spans="3:4" x14ac:dyDescent="0.25">
      <c r="C211" s="52"/>
      <c r="D211" s="52"/>
    </row>
    <row r="212" spans="3:4" x14ac:dyDescent="0.25">
      <c r="C212" s="52"/>
      <c r="D212" s="52"/>
    </row>
    <row r="213" spans="3:4" x14ac:dyDescent="0.25">
      <c r="C213" s="52"/>
      <c r="D213" s="52"/>
    </row>
    <row r="214" spans="3:4" x14ac:dyDescent="0.25">
      <c r="C214" s="52"/>
      <c r="D214" s="52"/>
    </row>
    <row r="215" spans="3:4" x14ac:dyDescent="0.25">
      <c r="C215" s="52"/>
      <c r="D215" s="52"/>
    </row>
    <row r="216" spans="3:4" x14ac:dyDescent="0.25">
      <c r="C216" s="52"/>
      <c r="D216" s="52"/>
    </row>
    <row r="217" spans="3:4" x14ac:dyDescent="0.25">
      <c r="C217" s="52"/>
      <c r="D217" s="52"/>
    </row>
    <row r="218" spans="3:4" x14ac:dyDescent="0.25">
      <c r="C218" s="52"/>
      <c r="D218" s="52"/>
    </row>
    <row r="219" spans="3:4" x14ac:dyDescent="0.25">
      <c r="C219" s="52"/>
      <c r="D219" s="52"/>
    </row>
    <row r="220" spans="3:4" x14ac:dyDescent="0.25">
      <c r="C220" s="52"/>
      <c r="D220" s="52"/>
    </row>
    <row r="221" spans="3:4" x14ac:dyDescent="0.25">
      <c r="C221" s="52"/>
      <c r="D221" s="52"/>
    </row>
    <row r="222" spans="3:4" x14ac:dyDescent="0.25">
      <c r="C222" s="52"/>
      <c r="D222" s="52"/>
    </row>
    <row r="223" spans="3:4" x14ac:dyDescent="0.25">
      <c r="C223" s="52"/>
      <c r="D223" s="52"/>
    </row>
    <row r="224" spans="3:4" x14ac:dyDescent="0.25">
      <c r="C224" s="52"/>
      <c r="D224" s="52"/>
    </row>
  </sheetData>
  <sheetProtection algorithmName="SHA-512" hashValue="cibeRDdVr9W6HaCzkm4Sz9VDEtUXZvhxZrEsIaTCDdsm3ynHwHGXzKpD1EidGkT1UxlKhEVjGZxtx1Uo6oZO/w==" saltValue="hklNXGwMSyZMYGv51hIqiA==" spinCount="100000" sheet="1" objects="1" scenarios="1"/>
  <mergeCells count="1">
    <mergeCell ref="A1:D2"/>
  </mergeCells>
  <phoneticPr fontId="16" type="noConversion"/>
  <pageMargins left="0.7" right="0.7" top="0.75" bottom="0.75" header="0.3" footer="0.3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5"/>
  <sheetViews>
    <sheetView workbookViewId="0">
      <pane xSplit="7" topLeftCell="X1" activePane="topRight" state="frozen"/>
      <selection pane="topRight" activeCell="Y194" sqref="Y194"/>
    </sheetView>
  </sheetViews>
  <sheetFormatPr defaultRowHeight="15" x14ac:dyDescent="0.25"/>
  <cols>
    <col min="1" max="1" width="17.28515625" customWidth="1"/>
    <col min="2" max="2" width="40" customWidth="1"/>
    <col min="3" max="3" width="20.42578125" customWidth="1"/>
    <col min="4" max="4" width="12.7109375" customWidth="1"/>
    <col min="5" max="5" width="19.5703125" customWidth="1"/>
    <col min="6" max="6" width="16.140625" customWidth="1"/>
    <col min="7" max="7" width="15.85546875" customWidth="1"/>
    <col min="8" max="8" width="12.140625" customWidth="1"/>
    <col min="9" max="9" width="13.28515625" customWidth="1"/>
    <col min="10" max="10" width="13" customWidth="1"/>
    <col min="11" max="11" width="14.28515625" customWidth="1"/>
    <col min="12" max="12" width="14.5703125" customWidth="1"/>
    <col min="13" max="13" width="15.28515625" customWidth="1"/>
    <col min="14" max="14" width="15.5703125" customWidth="1"/>
    <col min="15" max="15" width="14.7109375" customWidth="1"/>
    <col min="16" max="16" width="18.140625" customWidth="1"/>
    <col min="17" max="17" width="15.140625" customWidth="1"/>
    <col min="18" max="18" width="15.85546875" customWidth="1"/>
    <col min="19" max="19" width="16.28515625" customWidth="1"/>
    <col min="20" max="20" width="16.140625" customWidth="1"/>
    <col min="21" max="21" width="16.5703125" customWidth="1"/>
    <col min="22" max="22" width="15.42578125" customWidth="1"/>
    <col min="23" max="24" width="16" customWidth="1"/>
    <col min="25" max="25" width="18.140625" customWidth="1"/>
    <col min="26" max="26" width="13.42578125" customWidth="1"/>
    <col min="27" max="27" width="13.5703125" customWidth="1"/>
    <col min="28" max="28" width="12.5703125" customWidth="1"/>
    <col min="37" max="37" width="12.42578125" customWidth="1"/>
  </cols>
  <sheetData>
    <row r="1" spans="1:37" ht="21" x14ac:dyDescent="0.35">
      <c r="A1" s="1" t="s">
        <v>0</v>
      </c>
      <c r="B1" s="2"/>
      <c r="C1" s="1" t="s">
        <v>547</v>
      </c>
      <c r="D1" s="3"/>
      <c r="E1" s="1"/>
      <c r="F1" s="4"/>
      <c r="G1" s="4"/>
    </row>
    <row r="2" spans="1:37" ht="15.75" x14ac:dyDescent="0.25">
      <c r="A2" s="5" t="s">
        <v>1</v>
      </c>
      <c r="B2" s="2"/>
      <c r="C2" s="6" t="s">
        <v>543</v>
      </c>
      <c r="D2" s="7"/>
      <c r="E2" s="6"/>
      <c r="F2" s="8"/>
      <c r="G2" s="8"/>
    </row>
    <row r="3" spans="1:37" ht="15.75" x14ac:dyDescent="0.25">
      <c r="A3" s="5" t="s">
        <v>3</v>
      </c>
      <c r="B3" s="2"/>
      <c r="C3" s="5">
        <v>4414</v>
      </c>
      <c r="D3" s="9"/>
      <c r="E3" s="5"/>
      <c r="F3" s="8"/>
      <c r="G3" s="8"/>
    </row>
    <row r="4" spans="1:37" ht="15.75" x14ac:dyDescent="0.25">
      <c r="A4" s="5" t="s">
        <v>4</v>
      </c>
      <c r="B4" s="2"/>
      <c r="C4" s="8" t="s">
        <v>5</v>
      </c>
      <c r="D4" s="10"/>
      <c r="E4" s="8"/>
      <c r="F4" s="8"/>
      <c r="G4" s="11"/>
    </row>
    <row r="5" spans="1:37" ht="15.75" x14ac:dyDescent="0.25">
      <c r="A5" s="5" t="s">
        <v>6</v>
      </c>
      <c r="B5" s="2"/>
      <c r="C5" s="8" t="s">
        <v>7</v>
      </c>
      <c r="D5" s="10"/>
      <c r="E5" s="8"/>
      <c r="F5" s="8"/>
      <c r="G5" s="11"/>
    </row>
    <row r="6" spans="1:37" ht="15.75" x14ac:dyDescent="0.25">
      <c r="A6" s="5"/>
      <c r="B6" s="2"/>
      <c r="C6" s="8" t="s">
        <v>8</v>
      </c>
      <c r="D6" s="10"/>
      <c r="E6" s="8"/>
      <c r="F6" s="8"/>
      <c r="G6" s="11"/>
    </row>
    <row r="7" spans="1:37" ht="15.75" x14ac:dyDescent="0.25">
      <c r="A7" s="5" t="s">
        <v>9</v>
      </c>
      <c r="B7" s="2"/>
      <c r="C7" s="8" t="s">
        <v>544</v>
      </c>
      <c r="D7" s="10"/>
      <c r="E7" s="8"/>
      <c r="F7" s="8"/>
      <c r="G7" s="11"/>
    </row>
    <row r="8" spans="1:37" ht="15.75" x14ac:dyDescent="0.25">
      <c r="A8" s="5" t="s">
        <v>10</v>
      </c>
      <c r="B8" s="2"/>
      <c r="C8" s="8" t="s">
        <v>438</v>
      </c>
      <c r="D8" s="10"/>
      <c r="E8" s="8"/>
      <c r="F8" s="8"/>
      <c r="G8" s="11"/>
    </row>
    <row r="9" spans="1:37" ht="16.5" thickBot="1" x14ac:dyDescent="0.3">
      <c r="A9" s="5" t="s">
        <v>11</v>
      </c>
      <c r="B9" s="2"/>
      <c r="C9" s="8" t="s">
        <v>545</v>
      </c>
      <c r="D9" s="10"/>
      <c r="E9" s="8"/>
      <c r="F9" s="8"/>
      <c r="G9" s="11"/>
    </row>
    <row r="10" spans="1:37" ht="32.25" thickBot="1" x14ac:dyDescent="0.3">
      <c r="A10" s="12" t="s">
        <v>12</v>
      </c>
      <c r="B10" s="13" t="s">
        <v>13</v>
      </c>
      <c r="C10" s="13" t="s">
        <v>14</v>
      </c>
      <c r="D10" s="14" t="s">
        <v>15</v>
      </c>
      <c r="E10" s="15" t="s">
        <v>16</v>
      </c>
      <c r="F10" s="16" t="s">
        <v>17</v>
      </c>
      <c r="G10" s="17" t="s">
        <v>18</v>
      </c>
      <c r="H10" s="26" t="s">
        <v>380</v>
      </c>
      <c r="I10" s="26" t="s">
        <v>381</v>
      </c>
      <c r="J10" s="26" t="s">
        <v>382</v>
      </c>
      <c r="K10" s="26" t="s">
        <v>383</v>
      </c>
      <c r="L10" s="26" t="s">
        <v>384</v>
      </c>
      <c r="M10" s="26" t="s">
        <v>385</v>
      </c>
      <c r="N10" s="26" t="s">
        <v>386</v>
      </c>
      <c r="O10" s="26" t="s">
        <v>387</v>
      </c>
      <c r="P10" s="26" t="s">
        <v>388</v>
      </c>
      <c r="Q10" s="26" t="s">
        <v>389</v>
      </c>
      <c r="R10" s="26" t="s">
        <v>390</v>
      </c>
      <c r="S10" s="26" t="s">
        <v>391</v>
      </c>
      <c r="T10" s="26" t="s">
        <v>392</v>
      </c>
      <c r="U10" s="26" t="s">
        <v>393</v>
      </c>
      <c r="V10" s="26" t="s">
        <v>394</v>
      </c>
      <c r="W10" s="26" t="s">
        <v>395</v>
      </c>
      <c r="X10" s="26" t="s">
        <v>396</v>
      </c>
      <c r="Y10" s="26" t="s">
        <v>397</v>
      </c>
      <c r="Z10" s="26" t="s">
        <v>531</v>
      </c>
      <c r="AA10" s="26" t="s">
        <v>532</v>
      </c>
      <c r="AB10" s="26" t="s">
        <v>533</v>
      </c>
      <c r="AC10" s="26" t="s">
        <v>534</v>
      </c>
      <c r="AD10" s="26" t="s">
        <v>535</v>
      </c>
      <c r="AE10" s="26" t="s">
        <v>536</v>
      </c>
      <c r="AF10" s="26" t="s">
        <v>537</v>
      </c>
      <c r="AG10" s="26" t="s">
        <v>538</v>
      </c>
      <c r="AH10" s="26" t="s">
        <v>539</v>
      </c>
      <c r="AI10" s="26" t="s">
        <v>540</v>
      </c>
      <c r="AJ10" s="26" t="s">
        <v>541</v>
      </c>
      <c r="AK10" s="26" t="s">
        <v>542</v>
      </c>
    </row>
    <row r="11" spans="1:37" ht="16.5" thickBot="1" x14ac:dyDescent="0.3">
      <c r="A11" s="18" t="s">
        <v>19</v>
      </c>
      <c r="B11" s="19" t="s">
        <v>20</v>
      </c>
      <c r="C11" s="56">
        <v>8640318</v>
      </c>
      <c r="D11" s="21"/>
      <c r="E11" s="58">
        <f>C11</f>
        <v>8640318</v>
      </c>
      <c r="F11" s="22">
        <f t="shared" ref="F11:F42" si="0">SUM(H11:AB11)</f>
        <v>5843269.7000000002</v>
      </c>
      <c r="G11" s="22">
        <f t="shared" ref="G11:G42" si="1">E11-(F11+AC11+AD11)</f>
        <v>2797048.3</v>
      </c>
      <c r="H11" s="28"/>
      <c r="I11" s="28"/>
      <c r="J11" s="28"/>
      <c r="K11" s="28"/>
      <c r="L11" s="28"/>
      <c r="M11" s="28">
        <v>29291.65</v>
      </c>
      <c r="N11" s="28">
        <v>262123.87</v>
      </c>
      <c r="O11" s="28">
        <v>721934.29</v>
      </c>
      <c r="P11" s="28">
        <v>145620.43</v>
      </c>
      <c r="Q11" s="28"/>
      <c r="R11" s="28">
        <f>181116.18+976041.53</f>
        <v>1157157.71</v>
      </c>
      <c r="S11" s="28">
        <v>259810.86</v>
      </c>
      <c r="T11" s="28">
        <v>881400.26</v>
      </c>
      <c r="U11" s="28">
        <v>445299.3</v>
      </c>
      <c r="V11" s="28">
        <v>645226.09</v>
      </c>
      <c r="W11" s="28">
        <v>248529.28</v>
      </c>
      <c r="X11" s="28"/>
      <c r="Y11" s="28">
        <f>912154.69+134721.27</f>
        <v>1046875.96</v>
      </c>
    </row>
    <row r="12" spans="1:37" ht="16.5" thickBot="1" x14ac:dyDescent="0.3">
      <c r="A12" s="18" t="s">
        <v>21</v>
      </c>
      <c r="B12" s="19" t="s">
        <v>22</v>
      </c>
      <c r="C12" s="56">
        <v>32816487</v>
      </c>
      <c r="D12" s="21"/>
      <c r="E12" s="58">
        <f t="shared" ref="E12:E75" si="2">C12</f>
        <v>32816487</v>
      </c>
      <c r="F12" s="22">
        <f t="shared" si="0"/>
        <v>12035814.640000001</v>
      </c>
      <c r="G12" s="22">
        <f t="shared" si="1"/>
        <v>20780672.359999999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>
        <v>6697310.3600000003</v>
      </c>
      <c r="T12" s="28">
        <f>844039.81+151682.13</f>
        <v>995721.94000000006</v>
      </c>
      <c r="U12" s="28">
        <f>892230.7+150609.45</f>
        <v>1042840.1499999999</v>
      </c>
      <c r="V12" s="28">
        <f>1032281.77+1080338.17</f>
        <v>2112619.94</v>
      </c>
      <c r="W12" s="28"/>
      <c r="X12" s="28">
        <v>1187322.25</v>
      </c>
      <c r="Y12" s="28"/>
    </row>
    <row r="13" spans="1:37" ht="16.5" thickBot="1" x14ac:dyDescent="0.3">
      <c r="A13" s="18" t="s">
        <v>23</v>
      </c>
      <c r="B13" s="19" t="s">
        <v>24</v>
      </c>
      <c r="C13" s="56">
        <v>15163002</v>
      </c>
      <c r="D13" s="21"/>
      <c r="E13" s="58">
        <f t="shared" si="2"/>
        <v>15163002</v>
      </c>
      <c r="F13" s="22">
        <f t="shared" si="0"/>
        <v>4746368.5200000005</v>
      </c>
      <c r="G13" s="22">
        <f t="shared" si="1"/>
        <v>10416633.48</v>
      </c>
      <c r="H13" s="28"/>
      <c r="I13" s="28"/>
      <c r="J13" s="28"/>
      <c r="K13" s="28"/>
      <c r="L13" s="28"/>
      <c r="M13" s="28"/>
      <c r="N13" s="28">
        <v>1056289.58</v>
      </c>
      <c r="O13" s="28"/>
      <c r="P13" s="28"/>
      <c r="Q13" s="28"/>
      <c r="R13" s="28">
        <v>1717691.88</v>
      </c>
      <c r="S13" s="28">
        <v>225022.42</v>
      </c>
      <c r="T13" s="28"/>
      <c r="U13" s="28">
        <v>255469.47</v>
      </c>
      <c r="V13" s="28">
        <v>143578.70000000001</v>
      </c>
      <c r="W13" s="28"/>
      <c r="X13" s="28"/>
      <c r="Y13" s="28">
        <f>305353.45+1042963.02</f>
        <v>1348316.47</v>
      </c>
    </row>
    <row r="14" spans="1:37" ht="16.5" thickBot="1" x14ac:dyDescent="0.3">
      <c r="A14" s="18" t="s">
        <v>25</v>
      </c>
      <c r="B14" s="19" t="s">
        <v>26</v>
      </c>
      <c r="C14" s="56">
        <v>9383198</v>
      </c>
      <c r="D14" s="21"/>
      <c r="E14" s="58">
        <f t="shared" si="2"/>
        <v>9383198</v>
      </c>
      <c r="F14" s="22">
        <f t="shared" si="0"/>
        <v>5748878.4900000002</v>
      </c>
      <c r="G14" s="22">
        <f t="shared" si="1"/>
        <v>3634319.51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>372977.67+2979328.23</f>
        <v>3352305.9</v>
      </c>
      <c r="S14" s="28">
        <v>218252.58</v>
      </c>
      <c r="T14" s="28"/>
      <c r="U14" s="28"/>
      <c r="V14" s="28">
        <v>276148.09999999998</v>
      </c>
      <c r="W14" s="28"/>
      <c r="X14" s="28"/>
      <c r="Y14" s="28">
        <f>1310740.86+591431.05</f>
        <v>1902171.9100000001</v>
      </c>
    </row>
    <row r="15" spans="1:37" ht="16.5" thickBot="1" x14ac:dyDescent="0.3">
      <c r="A15" s="18" t="s">
        <v>27</v>
      </c>
      <c r="B15" s="19" t="s">
        <v>28</v>
      </c>
      <c r="C15" s="56">
        <v>586957</v>
      </c>
      <c r="D15" s="21"/>
      <c r="E15" s="58">
        <f t="shared" si="2"/>
        <v>586957</v>
      </c>
      <c r="F15" s="22">
        <f t="shared" si="0"/>
        <v>586957</v>
      </c>
      <c r="G15" s="22">
        <f t="shared" si="1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>
        <v>371665.05</v>
      </c>
      <c r="V15" s="28"/>
      <c r="W15" s="28"/>
      <c r="X15" s="28"/>
      <c r="Y15" s="28">
        <f>133334.95+81957</f>
        <v>215291.95</v>
      </c>
    </row>
    <row r="16" spans="1:37" ht="16.5" thickBot="1" x14ac:dyDescent="0.3">
      <c r="A16" s="18" t="s">
        <v>29</v>
      </c>
      <c r="B16" s="19" t="s">
        <v>30</v>
      </c>
      <c r="C16" s="56">
        <v>235896</v>
      </c>
      <c r="D16" s="21"/>
      <c r="E16" s="58">
        <f t="shared" si="2"/>
        <v>235896</v>
      </c>
      <c r="F16" s="22">
        <f t="shared" si="0"/>
        <v>169828.51</v>
      </c>
      <c r="G16" s="22">
        <f t="shared" si="1"/>
        <v>66067.489999999991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103194.06</v>
      </c>
      <c r="T16" s="28"/>
      <c r="U16" s="28"/>
      <c r="V16" s="28">
        <f>54038.94+12595.51</f>
        <v>66634.45</v>
      </c>
      <c r="W16" s="28"/>
      <c r="X16" s="28"/>
      <c r="Y16" s="28"/>
    </row>
    <row r="17" spans="1:25" ht="16.5" thickBot="1" x14ac:dyDescent="0.3">
      <c r="A17" s="18" t="s">
        <v>31</v>
      </c>
      <c r="B17" s="19" t="s">
        <v>32</v>
      </c>
      <c r="C17" s="56">
        <v>18904355</v>
      </c>
      <c r="D17" s="21"/>
      <c r="E17" s="58">
        <f t="shared" si="2"/>
        <v>18904355</v>
      </c>
      <c r="F17" s="22">
        <f t="shared" si="0"/>
        <v>9956395.3399999999</v>
      </c>
      <c r="G17" s="22">
        <f t="shared" si="1"/>
        <v>8947959.6600000001</v>
      </c>
      <c r="H17" s="28"/>
      <c r="I17" s="28"/>
      <c r="J17" s="28"/>
      <c r="K17" s="28"/>
      <c r="L17" s="28"/>
      <c r="M17" s="28"/>
      <c r="N17" s="28">
        <v>1146764.3500000001</v>
      </c>
      <c r="O17" s="28">
        <v>540522.59</v>
      </c>
      <c r="P17" s="28">
        <v>3245113.98</v>
      </c>
      <c r="Q17" s="28">
        <v>786275.86</v>
      </c>
      <c r="R17" s="28">
        <v>1004052.23</v>
      </c>
      <c r="S17" s="28">
        <v>379260.91</v>
      </c>
      <c r="T17" s="28">
        <v>387078.39</v>
      </c>
      <c r="U17" s="28">
        <v>540760.30000000005</v>
      </c>
      <c r="V17" s="28">
        <v>880703.92</v>
      </c>
      <c r="W17" s="28"/>
      <c r="X17" s="28"/>
      <c r="Y17" s="28">
        <f>584175.12+461687.69</f>
        <v>1045862.81</v>
      </c>
    </row>
    <row r="18" spans="1:25" ht="16.5" thickBot="1" x14ac:dyDescent="0.3">
      <c r="A18" s="18" t="s">
        <v>33</v>
      </c>
      <c r="B18" s="19" t="s">
        <v>34</v>
      </c>
      <c r="C18" s="56">
        <v>6132628</v>
      </c>
      <c r="D18" s="21"/>
      <c r="E18" s="58">
        <f t="shared" si="2"/>
        <v>6132628</v>
      </c>
      <c r="F18" s="22">
        <f t="shared" si="0"/>
        <v>1140876.6400000001</v>
      </c>
      <c r="G18" s="22">
        <f t="shared" si="1"/>
        <v>4991751.3599999994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f>331125.94+767877.6</f>
        <v>1099003.54</v>
      </c>
      <c r="U18" s="28">
        <v>41873.1</v>
      </c>
      <c r="V18" s="28"/>
      <c r="W18" s="28"/>
      <c r="X18" s="28"/>
      <c r="Y18" s="28"/>
    </row>
    <row r="19" spans="1:25" ht="16.5" thickBot="1" x14ac:dyDescent="0.3">
      <c r="A19" s="18" t="s">
        <v>35</v>
      </c>
      <c r="B19" s="19" t="s">
        <v>36</v>
      </c>
      <c r="C19" s="56">
        <v>659233</v>
      </c>
      <c r="D19" s="21"/>
      <c r="E19" s="58">
        <f t="shared" si="2"/>
        <v>659233</v>
      </c>
      <c r="F19" s="22">
        <f t="shared" si="0"/>
        <v>0</v>
      </c>
      <c r="G19" s="22">
        <f t="shared" si="1"/>
        <v>659233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thickBot="1" x14ac:dyDescent="0.3">
      <c r="A20" s="18" t="s">
        <v>37</v>
      </c>
      <c r="B20" s="19" t="s">
        <v>38</v>
      </c>
      <c r="C20" s="56">
        <v>4454117</v>
      </c>
      <c r="D20" s="21"/>
      <c r="E20" s="58">
        <f t="shared" si="2"/>
        <v>4454117</v>
      </c>
      <c r="F20" s="22">
        <f t="shared" si="0"/>
        <v>2466527</v>
      </c>
      <c r="G20" s="22">
        <f t="shared" si="1"/>
        <v>1987590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>
        <f>304183+79329+1016772</f>
        <v>1400284</v>
      </c>
      <c r="S20" s="28"/>
      <c r="T20" s="28"/>
      <c r="U20" s="28"/>
      <c r="V20" s="28"/>
      <c r="W20" s="28">
        <v>293799</v>
      </c>
      <c r="X20" s="28">
        <v>772444</v>
      </c>
      <c r="Y20" s="28"/>
    </row>
    <row r="21" spans="1:25" ht="16.5" thickBot="1" x14ac:dyDescent="0.3">
      <c r="A21" s="18" t="s">
        <v>39</v>
      </c>
      <c r="B21" s="19" t="s">
        <v>40</v>
      </c>
      <c r="C21" s="56">
        <v>5536699</v>
      </c>
      <c r="D21" s="21"/>
      <c r="E21" s="58">
        <f t="shared" si="2"/>
        <v>5536699</v>
      </c>
      <c r="F21" s="22">
        <f t="shared" si="0"/>
        <v>1862231.01</v>
      </c>
      <c r="G21" s="22">
        <f t="shared" si="1"/>
        <v>3674467.99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1447639.3</v>
      </c>
      <c r="T21" s="28"/>
      <c r="U21" s="28">
        <v>104103.4</v>
      </c>
      <c r="V21" s="28">
        <f>118535.45+191952.86</f>
        <v>310488.31</v>
      </c>
      <c r="W21" s="28"/>
      <c r="X21" s="28"/>
      <c r="Y21" s="28"/>
    </row>
    <row r="22" spans="1:25" ht="16.5" thickBot="1" x14ac:dyDescent="0.3">
      <c r="A22" s="18" t="s">
        <v>41</v>
      </c>
      <c r="B22" s="19" t="s">
        <v>42</v>
      </c>
      <c r="C22" s="56">
        <v>33419691</v>
      </c>
      <c r="D22" s="21"/>
      <c r="E22" s="58">
        <f t="shared" si="2"/>
        <v>33419691</v>
      </c>
      <c r="F22" s="22">
        <f t="shared" si="0"/>
        <v>4587952.46</v>
      </c>
      <c r="G22" s="22">
        <f t="shared" si="1"/>
        <v>28831738.539999999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>
        <f>146974.91+4440977.55</f>
        <v>4587952.46</v>
      </c>
    </row>
    <row r="23" spans="1:25" ht="16.5" thickBot="1" x14ac:dyDescent="0.3">
      <c r="A23" s="18" t="s">
        <v>43</v>
      </c>
      <c r="B23" s="19" t="s">
        <v>44</v>
      </c>
      <c r="C23" s="56">
        <v>3175006</v>
      </c>
      <c r="D23" s="21"/>
      <c r="E23" s="58">
        <f t="shared" si="2"/>
        <v>3175006</v>
      </c>
      <c r="F23" s="22">
        <f t="shared" si="0"/>
        <v>916235.69000000006</v>
      </c>
      <c r="G23" s="22">
        <f t="shared" si="1"/>
        <v>2258770.31</v>
      </c>
      <c r="H23" s="28"/>
      <c r="I23" s="28"/>
      <c r="J23" s="28"/>
      <c r="K23" s="28"/>
      <c r="L23" s="28"/>
      <c r="M23" s="28">
        <v>291701.39</v>
      </c>
      <c r="N23" s="28"/>
      <c r="O23" s="28"/>
      <c r="P23" s="28">
        <f>255329.17+7128.57</f>
        <v>262457.74</v>
      </c>
      <c r="Q23" s="28"/>
      <c r="R23" s="28"/>
      <c r="S23" s="28">
        <v>34385.75</v>
      </c>
      <c r="T23" s="28"/>
      <c r="U23" s="28">
        <v>28791.26</v>
      </c>
      <c r="V23" s="28"/>
      <c r="W23" s="28">
        <v>7595.3</v>
      </c>
      <c r="X23" s="28"/>
      <c r="Y23" s="28">
        <f>93738.38+197565.87</f>
        <v>291304.25</v>
      </c>
    </row>
    <row r="24" spans="1:25" ht="16.5" thickBot="1" x14ac:dyDescent="0.3">
      <c r="A24" s="18" t="s">
        <v>45</v>
      </c>
      <c r="B24" s="19" t="s">
        <v>46</v>
      </c>
      <c r="C24" s="56">
        <v>167946</v>
      </c>
      <c r="D24" s="21"/>
      <c r="E24" s="58">
        <f t="shared" si="2"/>
        <v>167946</v>
      </c>
      <c r="F24" s="22">
        <f t="shared" si="0"/>
        <v>0</v>
      </c>
      <c r="G24" s="22">
        <f t="shared" si="1"/>
        <v>167946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thickBot="1" x14ac:dyDescent="0.3">
      <c r="A25" s="18" t="s">
        <v>47</v>
      </c>
      <c r="B25" s="19" t="s">
        <v>48</v>
      </c>
      <c r="C25" s="56">
        <v>77157859</v>
      </c>
      <c r="D25" s="21"/>
      <c r="E25" s="58">
        <f t="shared" si="2"/>
        <v>77157859</v>
      </c>
      <c r="F25" s="22">
        <f t="shared" si="0"/>
        <v>12886649.119999999</v>
      </c>
      <c r="G25" s="22">
        <f t="shared" si="1"/>
        <v>64271209.880000003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6369884.46</v>
      </c>
      <c r="U25" s="28">
        <v>3422432.15</v>
      </c>
      <c r="V25" s="28">
        <v>3094332.51</v>
      </c>
      <c r="W25" s="28"/>
      <c r="X25" s="28"/>
      <c r="Y25" s="28"/>
    </row>
    <row r="26" spans="1:25" ht="16.5" thickBot="1" x14ac:dyDescent="0.3">
      <c r="A26" s="18" t="s">
        <v>49</v>
      </c>
      <c r="B26" s="19" t="s">
        <v>50</v>
      </c>
      <c r="C26" s="56">
        <v>2628693</v>
      </c>
      <c r="D26" s="21"/>
      <c r="E26" s="58">
        <f t="shared" si="2"/>
        <v>2628693</v>
      </c>
      <c r="F26" s="22">
        <f t="shared" si="0"/>
        <v>2193417</v>
      </c>
      <c r="G26" s="22">
        <f t="shared" si="1"/>
        <v>435276</v>
      </c>
      <c r="H26" s="28"/>
      <c r="I26" s="28"/>
      <c r="J26" s="28"/>
      <c r="K26" s="28"/>
      <c r="L26" s="28"/>
      <c r="M26" s="28"/>
      <c r="N26" s="28"/>
      <c r="O26" s="28">
        <f>295200+906516</f>
        <v>1201716</v>
      </c>
      <c r="P26" s="28"/>
      <c r="Q26" s="28"/>
      <c r="R26" s="28"/>
      <c r="S26" s="28">
        <v>166768</v>
      </c>
      <c r="T26" s="28"/>
      <c r="U26" s="28">
        <f>159013+446702</f>
        <v>605715</v>
      </c>
      <c r="V26" s="28">
        <v>195361</v>
      </c>
      <c r="W26" s="28">
        <v>23857</v>
      </c>
      <c r="X26" s="28"/>
      <c r="Y26" s="28"/>
    </row>
    <row r="27" spans="1:25" ht="16.5" thickBot="1" x14ac:dyDescent="0.3">
      <c r="A27" s="18" t="s">
        <v>51</v>
      </c>
      <c r="B27" s="19" t="s">
        <v>52</v>
      </c>
      <c r="C27" s="56">
        <v>2783522</v>
      </c>
      <c r="D27" s="21"/>
      <c r="E27" s="58">
        <f t="shared" si="2"/>
        <v>2783522</v>
      </c>
      <c r="F27" s="22">
        <f t="shared" si="0"/>
        <v>790928.5399999998</v>
      </c>
      <c r="G27" s="22">
        <f t="shared" si="1"/>
        <v>1992593.4600000002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f>54993.24+611314.65</f>
        <v>666307.89</v>
      </c>
      <c r="U27" s="28">
        <f>44753.71+5000</f>
        <v>49753.71</v>
      </c>
      <c r="V27" s="28">
        <f>15891.87+16319.72</f>
        <v>32211.59</v>
      </c>
      <c r="W27" s="28">
        <f>12090+9757.82</f>
        <v>21847.82</v>
      </c>
      <c r="X27" s="28">
        <v>5088.57</v>
      </c>
      <c r="Y27" s="28">
        <v>15718.96</v>
      </c>
    </row>
    <row r="28" spans="1:25" ht="16.5" thickBot="1" x14ac:dyDescent="0.3">
      <c r="A28" s="18" t="s">
        <v>53</v>
      </c>
      <c r="B28" s="19" t="s">
        <v>54</v>
      </c>
      <c r="C28" s="56">
        <v>287998</v>
      </c>
      <c r="D28" s="21"/>
      <c r="E28" s="58">
        <f t="shared" si="2"/>
        <v>287998</v>
      </c>
      <c r="F28" s="22">
        <f t="shared" si="0"/>
        <v>257201.24</v>
      </c>
      <c r="G28" s="22">
        <f t="shared" si="1"/>
        <v>30796.760000000009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>
        <v>257201.24</v>
      </c>
      <c r="W28" s="28"/>
      <c r="X28" s="28"/>
      <c r="Y28" s="28"/>
    </row>
    <row r="29" spans="1:25" ht="16.5" thickBot="1" x14ac:dyDescent="0.3">
      <c r="A29" s="18" t="s">
        <v>55</v>
      </c>
      <c r="B29" s="19" t="s">
        <v>56</v>
      </c>
      <c r="C29" s="56">
        <v>101537</v>
      </c>
      <c r="D29" s="21"/>
      <c r="E29" s="58">
        <f t="shared" si="2"/>
        <v>101537</v>
      </c>
      <c r="F29" s="22">
        <f t="shared" si="0"/>
        <v>0</v>
      </c>
      <c r="G29" s="22">
        <f t="shared" si="1"/>
        <v>101537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thickBot="1" x14ac:dyDescent="0.3">
      <c r="A30" s="18" t="s">
        <v>57</v>
      </c>
      <c r="B30" s="19" t="s">
        <v>58</v>
      </c>
      <c r="C30" s="56">
        <v>1064111</v>
      </c>
      <c r="D30" s="21"/>
      <c r="E30" s="58">
        <f t="shared" si="2"/>
        <v>1064111</v>
      </c>
      <c r="F30" s="22">
        <f t="shared" si="0"/>
        <v>125696.45</v>
      </c>
      <c r="G30" s="22">
        <f t="shared" si="1"/>
        <v>938414.55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>
        <v>121672.58</v>
      </c>
      <c r="W30" s="28"/>
      <c r="X30" s="28"/>
      <c r="Y30" s="28">
        <v>4023.87</v>
      </c>
    </row>
    <row r="31" spans="1:25" ht="16.5" thickBot="1" x14ac:dyDescent="0.3">
      <c r="A31" s="18" t="s">
        <v>59</v>
      </c>
      <c r="B31" s="19" t="s">
        <v>60</v>
      </c>
      <c r="C31" s="56">
        <v>126079</v>
      </c>
      <c r="D31" s="21"/>
      <c r="E31" s="58">
        <f t="shared" si="2"/>
        <v>126079</v>
      </c>
      <c r="F31" s="22">
        <f t="shared" si="0"/>
        <v>106767.52</v>
      </c>
      <c r="G31" s="22">
        <f t="shared" si="1"/>
        <v>19311.479999999996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v>106767.52</v>
      </c>
      <c r="W31" s="28"/>
      <c r="X31" s="28"/>
      <c r="Y31" s="28"/>
    </row>
    <row r="32" spans="1:25" ht="16.5" thickBot="1" x14ac:dyDescent="0.3">
      <c r="A32" s="18" t="s">
        <v>61</v>
      </c>
      <c r="B32" s="19" t="s">
        <v>62</v>
      </c>
      <c r="C32" s="56">
        <v>92262</v>
      </c>
      <c r="D32" s="21"/>
      <c r="E32" s="58">
        <f t="shared" si="2"/>
        <v>92262</v>
      </c>
      <c r="F32" s="22">
        <f t="shared" si="0"/>
        <v>53756.32</v>
      </c>
      <c r="G32" s="22">
        <f t="shared" si="1"/>
        <v>38505.68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23756.32</v>
      </c>
      <c r="V32" s="28">
        <v>30000</v>
      </c>
      <c r="W32" s="28"/>
      <c r="X32" s="28"/>
      <c r="Y32" s="28"/>
    </row>
    <row r="33" spans="1:25" ht="16.5" thickBot="1" x14ac:dyDescent="0.3">
      <c r="A33" s="18" t="s">
        <v>63</v>
      </c>
      <c r="B33" s="19" t="s">
        <v>64</v>
      </c>
      <c r="C33" s="56">
        <v>4777815</v>
      </c>
      <c r="D33" s="21"/>
      <c r="E33" s="58">
        <f t="shared" si="2"/>
        <v>4777815</v>
      </c>
      <c r="F33" s="22">
        <f t="shared" si="0"/>
        <v>36044.5</v>
      </c>
      <c r="G33" s="22">
        <f t="shared" si="1"/>
        <v>4741770.5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>
        <v>36044.5</v>
      </c>
      <c r="W33" s="28"/>
      <c r="X33" s="28"/>
      <c r="Y33" s="28"/>
    </row>
    <row r="34" spans="1:25" ht="16.5" thickBot="1" x14ac:dyDescent="0.3">
      <c r="A34" s="18" t="s">
        <v>65</v>
      </c>
      <c r="B34" s="19" t="s">
        <v>66</v>
      </c>
      <c r="C34" s="56">
        <v>328841</v>
      </c>
      <c r="D34" s="21"/>
      <c r="E34" s="58">
        <f t="shared" si="2"/>
        <v>328841</v>
      </c>
      <c r="F34" s="22">
        <f t="shared" si="0"/>
        <v>0</v>
      </c>
      <c r="G34" s="22">
        <f t="shared" si="1"/>
        <v>328841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thickBot="1" x14ac:dyDescent="0.3">
      <c r="A35" s="18" t="s">
        <v>67</v>
      </c>
      <c r="B35" s="19" t="s">
        <v>68</v>
      </c>
      <c r="C35" s="56">
        <v>20870720</v>
      </c>
      <c r="D35" s="21"/>
      <c r="E35" s="58">
        <f t="shared" si="2"/>
        <v>20870720</v>
      </c>
      <c r="F35" s="22">
        <f t="shared" si="0"/>
        <v>12987906.940000001</v>
      </c>
      <c r="G35" s="22">
        <f t="shared" si="1"/>
        <v>7882813.0599999987</v>
      </c>
      <c r="H35" s="28"/>
      <c r="I35" s="28"/>
      <c r="J35" s="28"/>
      <c r="K35" s="28"/>
      <c r="L35" s="28"/>
      <c r="M35" s="28"/>
      <c r="N35" s="28">
        <v>5436837.8300000001</v>
      </c>
      <c r="O35" s="28"/>
      <c r="P35" s="28"/>
      <c r="Q35" s="28"/>
      <c r="R35" s="28">
        <v>938358.54</v>
      </c>
      <c r="S35" s="28">
        <v>1089999.58</v>
      </c>
      <c r="T35" s="28"/>
      <c r="U35" s="28"/>
      <c r="V35" s="28"/>
      <c r="W35" s="28">
        <v>3946350.93</v>
      </c>
      <c r="X35" s="28">
        <v>830809.85</v>
      </c>
      <c r="Y35" s="28">
        <v>745550.21</v>
      </c>
    </row>
    <row r="36" spans="1:25" ht="16.5" thickBot="1" x14ac:dyDescent="0.3">
      <c r="A36" s="18" t="s">
        <v>69</v>
      </c>
      <c r="B36" s="19" t="s">
        <v>70</v>
      </c>
      <c r="C36" s="56">
        <v>13981357</v>
      </c>
      <c r="D36" s="21"/>
      <c r="E36" s="58">
        <f t="shared" si="2"/>
        <v>13981357</v>
      </c>
      <c r="F36" s="22">
        <f t="shared" si="0"/>
        <v>4274411.57</v>
      </c>
      <c r="G36" s="22">
        <f t="shared" si="1"/>
        <v>9706945.4299999997</v>
      </c>
      <c r="H36" s="28"/>
      <c r="I36" s="28"/>
      <c r="J36" s="28"/>
      <c r="K36" s="28"/>
      <c r="L36" s="28"/>
      <c r="M36" s="28"/>
      <c r="N36" s="28"/>
      <c r="O36" s="28">
        <f>19570.7+871728.59</f>
        <v>891299.28999999992</v>
      </c>
      <c r="P36" s="28">
        <v>430460.69</v>
      </c>
      <c r="Q36" s="28">
        <v>295891.77</v>
      </c>
      <c r="R36" s="28">
        <v>403882.95</v>
      </c>
      <c r="S36" s="28"/>
      <c r="T36" s="28">
        <f>554293.3+474346.57</f>
        <v>1028639.8700000001</v>
      </c>
      <c r="U36" s="28"/>
      <c r="V36" s="28">
        <f>634978+589259</f>
        <v>1224237</v>
      </c>
      <c r="W36" s="28"/>
      <c r="X36" s="28"/>
      <c r="Y36" s="28"/>
    </row>
    <row r="37" spans="1:25" ht="16.5" thickBot="1" x14ac:dyDescent="0.3">
      <c r="A37" s="18" t="s">
        <v>71</v>
      </c>
      <c r="B37" s="19" t="s">
        <v>72</v>
      </c>
      <c r="C37" s="56">
        <v>1116162</v>
      </c>
      <c r="D37" s="21"/>
      <c r="E37" s="58">
        <f t="shared" si="2"/>
        <v>1116162</v>
      </c>
      <c r="F37" s="22">
        <f t="shared" si="0"/>
        <v>606340.1</v>
      </c>
      <c r="G37" s="22">
        <f t="shared" si="1"/>
        <v>509821.9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>
        <v>606340.1</v>
      </c>
      <c r="V37" s="28"/>
      <c r="W37" s="28"/>
      <c r="X37" s="28"/>
      <c r="Y37" s="28"/>
    </row>
    <row r="38" spans="1:25" ht="16.5" thickBot="1" x14ac:dyDescent="0.3">
      <c r="A38" s="18" t="s">
        <v>73</v>
      </c>
      <c r="B38" s="19" t="s">
        <v>74</v>
      </c>
      <c r="C38" s="56">
        <v>1184628</v>
      </c>
      <c r="D38" s="21"/>
      <c r="E38" s="58">
        <f t="shared" si="2"/>
        <v>1184628</v>
      </c>
      <c r="F38" s="22">
        <f t="shared" si="0"/>
        <v>311038.12</v>
      </c>
      <c r="G38" s="22">
        <f t="shared" si="1"/>
        <v>873589.88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>
        <v>87003.06</v>
      </c>
      <c r="U38" s="28">
        <f>73552.78+38418.75</f>
        <v>111971.53</v>
      </c>
      <c r="V38" s="28">
        <f>38418.75+46423.39</f>
        <v>84842.14</v>
      </c>
      <c r="W38" s="28"/>
      <c r="X38" s="28"/>
      <c r="Y38" s="28">
        <f>12999.18+14222.21</f>
        <v>27221.39</v>
      </c>
    </row>
    <row r="39" spans="1:25" ht="16.5" thickBot="1" x14ac:dyDescent="0.3">
      <c r="A39" s="18" t="s">
        <v>75</v>
      </c>
      <c r="B39" s="19" t="s">
        <v>76</v>
      </c>
      <c r="C39" s="56">
        <v>155854</v>
      </c>
      <c r="D39" s="21"/>
      <c r="E39" s="58">
        <f t="shared" si="2"/>
        <v>155854</v>
      </c>
      <c r="F39" s="22">
        <f t="shared" si="0"/>
        <v>86446.6</v>
      </c>
      <c r="G39" s="22">
        <f t="shared" si="1"/>
        <v>69407.399999999994</v>
      </c>
      <c r="H39" s="28"/>
      <c r="I39" s="28"/>
      <c r="J39" s="28"/>
      <c r="K39" s="28"/>
      <c r="L39" s="28"/>
      <c r="M39" s="28"/>
      <c r="N39" s="28"/>
      <c r="O39" s="28"/>
      <c r="P39" s="28">
        <v>21528.6</v>
      </c>
      <c r="Q39" s="28"/>
      <c r="R39" s="28"/>
      <c r="S39" s="28"/>
      <c r="T39" s="28"/>
      <c r="U39" s="28"/>
      <c r="V39" s="28"/>
      <c r="W39" s="28">
        <v>64918</v>
      </c>
      <c r="X39" s="28"/>
      <c r="Y39" s="28"/>
    </row>
    <row r="40" spans="1:25" ht="16.5" thickBot="1" x14ac:dyDescent="0.3">
      <c r="A40" s="18" t="s">
        <v>77</v>
      </c>
      <c r="B40" s="19" t="s">
        <v>78</v>
      </c>
      <c r="C40" s="56">
        <v>370805</v>
      </c>
      <c r="D40" s="21"/>
      <c r="E40" s="58">
        <f t="shared" si="2"/>
        <v>370805</v>
      </c>
      <c r="F40" s="22">
        <f t="shared" si="0"/>
        <v>161441.42000000001</v>
      </c>
      <c r="G40" s="22">
        <f t="shared" si="1"/>
        <v>209363.58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>
        <v>161441.42000000001</v>
      </c>
      <c r="W40" s="28"/>
      <c r="X40" s="28"/>
      <c r="Y40" s="28"/>
    </row>
    <row r="41" spans="1:25" ht="16.5" thickBot="1" x14ac:dyDescent="0.3">
      <c r="A41" s="18" t="s">
        <v>79</v>
      </c>
      <c r="B41" s="19" t="s">
        <v>80</v>
      </c>
      <c r="C41" s="56">
        <v>713255</v>
      </c>
      <c r="D41" s="21"/>
      <c r="E41" s="58">
        <f t="shared" si="2"/>
        <v>713255</v>
      </c>
      <c r="F41" s="22">
        <f t="shared" si="0"/>
        <v>246164.41</v>
      </c>
      <c r="G41" s="22">
        <f t="shared" si="1"/>
        <v>467090.58999999997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>
        <f>181030.44+3172.92</f>
        <v>184203.36000000002</v>
      </c>
      <c r="W41" s="28">
        <v>7636.18</v>
      </c>
      <c r="X41" s="28"/>
      <c r="Y41" s="28">
        <f>4379+49945.87</f>
        <v>54324.87</v>
      </c>
    </row>
    <row r="42" spans="1:25" ht="16.5" thickBot="1" x14ac:dyDescent="0.3">
      <c r="A42" s="18" t="s">
        <v>81</v>
      </c>
      <c r="B42" s="19" t="s">
        <v>82</v>
      </c>
      <c r="C42" s="56">
        <v>2201187</v>
      </c>
      <c r="D42" s="21"/>
      <c r="E42" s="58">
        <f t="shared" si="2"/>
        <v>2201187</v>
      </c>
      <c r="F42" s="22">
        <f t="shared" si="0"/>
        <v>449391.17</v>
      </c>
      <c r="G42" s="22">
        <f t="shared" si="1"/>
        <v>1751795.83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>
        <v>22019.79</v>
      </c>
      <c r="V42" s="28">
        <v>318771.93</v>
      </c>
      <c r="W42" s="28"/>
      <c r="X42" s="28">
        <v>108599.45</v>
      </c>
      <c r="Y42" s="28"/>
    </row>
    <row r="43" spans="1:25" ht="16.5" thickBot="1" x14ac:dyDescent="0.3">
      <c r="A43" s="18" t="s">
        <v>83</v>
      </c>
      <c r="B43" s="19" t="s">
        <v>84</v>
      </c>
      <c r="C43" s="56">
        <v>679194</v>
      </c>
      <c r="D43" s="21"/>
      <c r="E43" s="58">
        <f t="shared" si="2"/>
        <v>679194</v>
      </c>
      <c r="F43" s="22">
        <f t="shared" ref="F43:F74" si="3">SUM(H43:AB43)</f>
        <v>203924.72999999998</v>
      </c>
      <c r="G43" s="22">
        <f t="shared" ref="G43:G74" si="4">E43-(F43+AC43+AD43)</f>
        <v>475269.27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>
        <v>142840.28</v>
      </c>
      <c r="T43" s="28"/>
      <c r="U43" s="28"/>
      <c r="V43" s="28">
        <v>61084.45</v>
      </c>
      <c r="W43" s="28"/>
      <c r="X43" s="28"/>
      <c r="Y43" s="28"/>
    </row>
    <row r="44" spans="1:25" ht="16.5" thickBot="1" x14ac:dyDescent="0.3">
      <c r="A44" s="18" t="s">
        <v>85</v>
      </c>
      <c r="B44" s="19" t="s">
        <v>86</v>
      </c>
      <c r="C44" s="56">
        <v>1069142</v>
      </c>
      <c r="D44" s="21"/>
      <c r="E44" s="58">
        <f t="shared" si="2"/>
        <v>1069142</v>
      </c>
      <c r="F44" s="22">
        <f t="shared" si="3"/>
        <v>0</v>
      </c>
      <c r="G44" s="22">
        <f t="shared" si="4"/>
        <v>1069142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6.5" thickBot="1" x14ac:dyDescent="0.3">
      <c r="A45" s="18" t="s">
        <v>87</v>
      </c>
      <c r="B45" s="19" t="s">
        <v>88</v>
      </c>
      <c r="C45" s="56">
        <v>1171360</v>
      </c>
      <c r="D45" s="21"/>
      <c r="E45" s="58">
        <f t="shared" si="2"/>
        <v>1171360</v>
      </c>
      <c r="F45" s="22">
        <f t="shared" si="3"/>
        <v>0</v>
      </c>
      <c r="G45" s="22">
        <f t="shared" si="4"/>
        <v>1171360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6.5" thickBot="1" x14ac:dyDescent="0.3">
      <c r="A46" s="18" t="s">
        <v>89</v>
      </c>
      <c r="B46" s="19" t="s">
        <v>90</v>
      </c>
      <c r="C46" s="56">
        <v>1234833</v>
      </c>
      <c r="D46" s="21"/>
      <c r="E46" s="58">
        <f t="shared" si="2"/>
        <v>1234833</v>
      </c>
      <c r="F46" s="22">
        <f t="shared" si="3"/>
        <v>0</v>
      </c>
      <c r="G46" s="22">
        <f t="shared" si="4"/>
        <v>1234833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thickBot="1" x14ac:dyDescent="0.3">
      <c r="A47" s="18" t="s">
        <v>91</v>
      </c>
      <c r="B47" s="19" t="s">
        <v>92</v>
      </c>
      <c r="C47" s="56">
        <v>1686601</v>
      </c>
      <c r="D47" s="21"/>
      <c r="E47" s="58">
        <f t="shared" si="2"/>
        <v>1686601</v>
      </c>
      <c r="F47" s="22">
        <f t="shared" si="3"/>
        <v>0</v>
      </c>
      <c r="G47" s="22">
        <f t="shared" si="4"/>
        <v>1686601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6.5" thickBot="1" x14ac:dyDescent="0.3">
      <c r="A48" s="18" t="s">
        <v>93</v>
      </c>
      <c r="B48" s="19" t="s">
        <v>94</v>
      </c>
      <c r="C48" s="56">
        <v>1085393</v>
      </c>
      <c r="D48" s="21"/>
      <c r="E48" s="58">
        <f t="shared" si="2"/>
        <v>1085393</v>
      </c>
      <c r="F48" s="22">
        <f t="shared" si="3"/>
        <v>511205.70999999996</v>
      </c>
      <c r="G48" s="22">
        <f t="shared" si="4"/>
        <v>574187.29</v>
      </c>
      <c r="H48" s="28"/>
      <c r="I48" s="28"/>
      <c r="J48" s="28"/>
      <c r="K48" s="28"/>
      <c r="L48" s="28"/>
      <c r="M48" s="28"/>
      <c r="N48" s="28"/>
      <c r="O48" s="28"/>
      <c r="P48" s="28">
        <v>123300.64</v>
      </c>
      <c r="Q48" s="28"/>
      <c r="R48" s="28"/>
      <c r="S48" s="28">
        <v>214371.22</v>
      </c>
      <c r="T48" s="28"/>
      <c r="U48" s="28"/>
      <c r="V48" s="28"/>
      <c r="W48" s="28"/>
      <c r="X48" s="28"/>
      <c r="Y48" s="28">
        <v>173533.85</v>
      </c>
    </row>
    <row r="49" spans="1:25" ht="16.5" thickBot="1" x14ac:dyDescent="0.3">
      <c r="A49" s="18" t="s">
        <v>95</v>
      </c>
      <c r="B49" s="19" t="s">
        <v>96</v>
      </c>
      <c r="C49" s="56">
        <v>8327597</v>
      </c>
      <c r="D49" s="21"/>
      <c r="E49" s="58">
        <f t="shared" si="2"/>
        <v>8327597</v>
      </c>
      <c r="F49" s="22">
        <f t="shared" si="3"/>
        <v>306114.48</v>
      </c>
      <c r="G49" s="22">
        <f t="shared" si="4"/>
        <v>8021482.5199999996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>
        <v>79178.720000000001</v>
      </c>
      <c r="V49" s="28">
        <v>11075.22</v>
      </c>
      <c r="W49" s="28"/>
      <c r="X49" s="28"/>
      <c r="Y49" s="28">
        <v>215860.54</v>
      </c>
    </row>
    <row r="50" spans="1:25" ht="16.5" thickBot="1" x14ac:dyDescent="0.3">
      <c r="A50" s="18" t="s">
        <v>97</v>
      </c>
      <c r="B50" s="19" t="s">
        <v>98</v>
      </c>
      <c r="C50" s="56">
        <v>209674268</v>
      </c>
      <c r="D50" s="21"/>
      <c r="E50" s="58">
        <f t="shared" si="2"/>
        <v>209674268</v>
      </c>
      <c r="F50" s="22">
        <f t="shared" si="3"/>
        <v>33857908.299999997</v>
      </c>
      <c r="G50" s="22">
        <f t="shared" si="4"/>
        <v>175816359.69999999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>
        <v>6604032.4699999997</v>
      </c>
      <c r="V50" s="28">
        <f>7082744.43+1212786.87+2549237.1+2562541.43</f>
        <v>13407309.83</v>
      </c>
      <c r="W50" s="28"/>
      <c r="X50" s="28"/>
      <c r="Y50" s="28">
        <f>9526898.41+4319667.59</f>
        <v>13846566</v>
      </c>
    </row>
    <row r="51" spans="1:25" ht="16.5" thickBot="1" x14ac:dyDescent="0.3">
      <c r="A51" s="18" t="s">
        <v>99</v>
      </c>
      <c r="B51" s="19" t="s">
        <v>100</v>
      </c>
      <c r="C51" s="56">
        <v>368830</v>
      </c>
      <c r="D51" s="21"/>
      <c r="E51" s="58">
        <f t="shared" si="2"/>
        <v>368830</v>
      </c>
      <c r="F51" s="22">
        <f t="shared" si="3"/>
        <v>49053</v>
      </c>
      <c r="G51" s="22">
        <f t="shared" si="4"/>
        <v>319777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>
        <v>49053</v>
      </c>
      <c r="W51" s="28"/>
      <c r="X51" s="28"/>
      <c r="Y51" s="28"/>
    </row>
    <row r="52" spans="1:25" ht="16.5" thickBot="1" x14ac:dyDescent="0.3">
      <c r="A52" s="18" t="s">
        <v>101</v>
      </c>
      <c r="B52" s="19" t="s">
        <v>102</v>
      </c>
      <c r="C52" s="56">
        <v>11714585</v>
      </c>
      <c r="D52" s="21"/>
      <c r="E52" s="58">
        <f t="shared" si="2"/>
        <v>11714585</v>
      </c>
      <c r="F52" s="22">
        <f t="shared" si="3"/>
        <v>8843096.9299999997</v>
      </c>
      <c r="G52" s="22">
        <f t="shared" si="4"/>
        <v>2871488.0700000003</v>
      </c>
      <c r="H52" s="28"/>
      <c r="I52" s="28"/>
      <c r="J52" s="28"/>
      <c r="K52" s="28"/>
      <c r="L52" s="28"/>
      <c r="M52" s="28">
        <v>1527100.46</v>
      </c>
      <c r="N52" s="28"/>
      <c r="O52" s="28"/>
      <c r="P52" s="28"/>
      <c r="Q52" s="28">
        <v>2470714.3199999998</v>
      </c>
      <c r="R52" s="28">
        <v>129062.55</v>
      </c>
      <c r="S52" s="28">
        <v>623312.06999999995</v>
      </c>
      <c r="T52" s="28">
        <v>1162317.45</v>
      </c>
      <c r="U52" s="28"/>
      <c r="V52" s="28">
        <v>1662973.84</v>
      </c>
      <c r="W52" s="28">
        <v>466161.38</v>
      </c>
      <c r="X52" s="28"/>
      <c r="Y52" s="28">
        <v>801454.86</v>
      </c>
    </row>
    <row r="53" spans="1:25" ht="16.5" thickBot="1" x14ac:dyDescent="0.3">
      <c r="A53" s="18" t="s">
        <v>103</v>
      </c>
      <c r="B53" s="19" t="s">
        <v>104</v>
      </c>
      <c r="C53" s="56">
        <v>3851615</v>
      </c>
      <c r="D53" s="21"/>
      <c r="E53" s="58">
        <f t="shared" si="2"/>
        <v>3851615</v>
      </c>
      <c r="F53" s="22">
        <f t="shared" si="3"/>
        <v>1388568.9000000001</v>
      </c>
      <c r="G53" s="22">
        <f t="shared" si="4"/>
        <v>2463046.0999999996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>
        <v>665094.30000000005</v>
      </c>
      <c r="S53" s="28">
        <v>129136.12</v>
      </c>
      <c r="T53" s="28">
        <v>190483.49</v>
      </c>
      <c r="U53" s="28"/>
      <c r="V53" s="28">
        <v>254029</v>
      </c>
      <c r="W53" s="28">
        <v>149825.99</v>
      </c>
      <c r="X53" s="28"/>
      <c r="Y53" s="28"/>
    </row>
    <row r="54" spans="1:25" ht="16.5" thickBot="1" x14ac:dyDescent="0.3">
      <c r="A54" s="18" t="s">
        <v>105</v>
      </c>
      <c r="B54" s="19" t="s">
        <v>106</v>
      </c>
      <c r="C54" s="56">
        <v>1094235</v>
      </c>
      <c r="D54" s="21"/>
      <c r="E54" s="58">
        <f t="shared" si="2"/>
        <v>1094235</v>
      </c>
      <c r="F54" s="22">
        <f t="shared" si="3"/>
        <v>733085.03999999992</v>
      </c>
      <c r="G54" s="22">
        <f t="shared" si="4"/>
        <v>361149.96000000008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>
        <v>227651.38</v>
      </c>
      <c r="V54" s="28">
        <f>340980.98+91964.58</f>
        <v>432945.56</v>
      </c>
      <c r="W54" s="28"/>
      <c r="X54" s="28">
        <v>70994.100000000006</v>
      </c>
      <c r="Y54" s="28">
        <v>1494</v>
      </c>
    </row>
    <row r="55" spans="1:25" ht="16.5" thickBot="1" x14ac:dyDescent="0.3">
      <c r="A55" s="18" t="s">
        <v>107</v>
      </c>
      <c r="B55" s="19" t="s">
        <v>108</v>
      </c>
      <c r="C55" s="56">
        <v>210771</v>
      </c>
      <c r="D55" s="21"/>
      <c r="E55" s="58">
        <f t="shared" si="2"/>
        <v>210771</v>
      </c>
      <c r="F55" s="22">
        <f t="shared" si="3"/>
        <v>0</v>
      </c>
      <c r="G55" s="22">
        <f t="shared" si="4"/>
        <v>210771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6.5" thickBot="1" x14ac:dyDescent="0.3">
      <c r="A56" s="18" t="s">
        <v>109</v>
      </c>
      <c r="B56" s="19" t="s">
        <v>110</v>
      </c>
      <c r="C56" s="56">
        <v>285724</v>
      </c>
      <c r="D56" s="21"/>
      <c r="E56" s="58">
        <f t="shared" si="2"/>
        <v>285724</v>
      </c>
      <c r="F56" s="22">
        <f t="shared" si="3"/>
        <v>153372</v>
      </c>
      <c r="G56" s="22">
        <f t="shared" si="4"/>
        <v>132352</v>
      </c>
      <c r="H56" s="28"/>
      <c r="I56" s="28"/>
      <c r="J56" s="28"/>
      <c r="K56" s="28"/>
      <c r="L56" s="28"/>
      <c r="M56" s="28"/>
      <c r="N56" s="28"/>
      <c r="O56" s="28">
        <f>8908+144464</f>
        <v>153372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6.5" thickBot="1" x14ac:dyDescent="0.3">
      <c r="A57" s="18" t="s">
        <v>111</v>
      </c>
      <c r="B57" s="19" t="s">
        <v>112</v>
      </c>
      <c r="C57" s="56">
        <v>186928</v>
      </c>
      <c r="D57" s="21"/>
      <c r="E57" s="58">
        <f t="shared" si="2"/>
        <v>186928</v>
      </c>
      <c r="F57" s="22">
        <f t="shared" si="3"/>
        <v>186928</v>
      </c>
      <c r="G57" s="22">
        <f t="shared" si="4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>
        <v>186928</v>
      </c>
      <c r="U57" s="28"/>
      <c r="V57" s="28"/>
      <c r="W57" s="28"/>
      <c r="X57" s="28"/>
      <c r="Y57" s="28"/>
    </row>
    <row r="58" spans="1:25" ht="16.5" thickBot="1" x14ac:dyDescent="0.3">
      <c r="A58" s="18" t="s">
        <v>113</v>
      </c>
      <c r="B58" s="19" t="s">
        <v>114</v>
      </c>
      <c r="C58" s="56">
        <v>99671</v>
      </c>
      <c r="D58" s="21"/>
      <c r="E58" s="58">
        <f t="shared" si="2"/>
        <v>99671</v>
      </c>
      <c r="F58" s="22">
        <f t="shared" si="3"/>
        <v>99671</v>
      </c>
      <c r="G58" s="22">
        <f t="shared" si="4"/>
        <v>0</v>
      </c>
      <c r="H58" s="28"/>
      <c r="I58" s="28"/>
      <c r="J58" s="28"/>
      <c r="K58" s="28"/>
      <c r="L58" s="28"/>
      <c r="M58" s="28"/>
      <c r="N58" s="28">
        <v>66400</v>
      </c>
      <c r="O58" s="28"/>
      <c r="P58" s="28"/>
      <c r="Q58" s="28"/>
      <c r="R58" s="28"/>
      <c r="S58" s="28"/>
      <c r="T58" s="28"/>
      <c r="U58" s="28">
        <v>18098.759999999998</v>
      </c>
      <c r="V58" s="28"/>
      <c r="W58" s="28"/>
      <c r="X58" s="28"/>
      <c r="Y58" s="28">
        <v>15172.24</v>
      </c>
    </row>
    <row r="59" spans="1:25" ht="16.5" thickBot="1" x14ac:dyDescent="0.3">
      <c r="A59" s="18" t="s">
        <v>115</v>
      </c>
      <c r="B59" s="19" t="s">
        <v>116</v>
      </c>
      <c r="C59" s="56">
        <v>633408</v>
      </c>
      <c r="D59" s="21"/>
      <c r="E59" s="58">
        <f t="shared" si="2"/>
        <v>633408</v>
      </c>
      <c r="F59" s="22">
        <f t="shared" si="3"/>
        <v>411694.05</v>
      </c>
      <c r="G59" s="22">
        <f t="shared" si="4"/>
        <v>221713.95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>
        <f>63995.48+347698.57</f>
        <v>411694.05</v>
      </c>
      <c r="W59" s="28"/>
      <c r="X59" s="28"/>
      <c r="Y59" s="28"/>
    </row>
    <row r="60" spans="1:25" ht="16.5" thickBot="1" x14ac:dyDescent="0.3">
      <c r="A60" s="18" t="s">
        <v>117</v>
      </c>
      <c r="B60" s="19" t="s">
        <v>118</v>
      </c>
      <c r="C60" s="56">
        <v>32018943</v>
      </c>
      <c r="D60" s="21"/>
      <c r="E60" s="58">
        <f t="shared" si="2"/>
        <v>32018943</v>
      </c>
      <c r="F60" s="22">
        <f t="shared" si="3"/>
        <v>2824392.39</v>
      </c>
      <c r="G60" s="22">
        <f t="shared" si="4"/>
        <v>29194550.609999999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>
        <v>1589043.34</v>
      </c>
      <c r="U60" s="28"/>
      <c r="V60" s="28">
        <v>1235349.05</v>
      </c>
      <c r="W60" s="28"/>
      <c r="X60" s="28"/>
      <c r="Y60" s="28"/>
    </row>
    <row r="61" spans="1:25" ht="16.5" thickBot="1" x14ac:dyDescent="0.3">
      <c r="A61" s="18" t="s">
        <v>119</v>
      </c>
      <c r="B61" s="19" t="s">
        <v>120</v>
      </c>
      <c r="C61" s="56">
        <v>11178942</v>
      </c>
      <c r="D61" s="21"/>
      <c r="E61" s="58">
        <f t="shared" si="2"/>
        <v>11178942</v>
      </c>
      <c r="F61" s="22">
        <f t="shared" si="3"/>
        <v>1863518.61</v>
      </c>
      <c r="G61" s="22">
        <f t="shared" si="4"/>
        <v>9315423.3900000006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>
        <v>1501031.01</v>
      </c>
      <c r="U61" s="28"/>
      <c r="V61" s="28">
        <v>295864.08</v>
      </c>
      <c r="W61" s="28"/>
      <c r="X61" s="28">
        <v>66623.520000000004</v>
      </c>
      <c r="Y61" s="28"/>
    </row>
    <row r="62" spans="1:25" ht="16.5" thickBot="1" x14ac:dyDescent="0.3">
      <c r="A62" s="18" t="s">
        <v>121</v>
      </c>
      <c r="B62" s="19" t="s">
        <v>122</v>
      </c>
      <c r="C62" s="56">
        <v>9899589</v>
      </c>
      <c r="D62" s="21"/>
      <c r="E62" s="58">
        <f t="shared" si="2"/>
        <v>9899589</v>
      </c>
      <c r="F62" s="22">
        <f t="shared" si="3"/>
        <v>4907502</v>
      </c>
      <c r="G62" s="22">
        <f t="shared" si="4"/>
        <v>4992087</v>
      </c>
      <c r="H62" s="28"/>
      <c r="I62" s="28"/>
      <c r="J62" s="28"/>
      <c r="K62" s="28"/>
      <c r="L62" s="28"/>
      <c r="M62" s="28"/>
      <c r="N62" s="28">
        <f>137596+31996</f>
        <v>169592</v>
      </c>
      <c r="O62" s="28">
        <v>181134</v>
      </c>
      <c r="P62" s="28">
        <v>183476</v>
      </c>
      <c r="Q62" s="28">
        <v>200234</v>
      </c>
      <c r="R62" s="28">
        <v>311712</v>
      </c>
      <c r="S62" s="28">
        <v>200851</v>
      </c>
      <c r="T62" s="28">
        <v>1997357</v>
      </c>
      <c r="U62" s="28">
        <v>205861</v>
      </c>
      <c r="V62" s="28">
        <v>226667</v>
      </c>
      <c r="W62" s="28">
        <v>214007</v>
      </c>
      <c r="X62" s="28">
        <v>472190</v>
      </c>
      <c r="Y62" s="28">
        <f>109602+434819</f>
        <v>544421</v>
      </c>
    </row>
    <row r="63" spans="1:25" ht="16.5" thickBot="1" x14ac:dyDescent="0.3">
      <c r="A63" s="18" t="s">
        <v>123</v>
      </c>
      <c r="B63" s="19" t="s">
        <v>124</v>
      </c>
      <c r="C63" s="56">
        <v>59879943</v>
      </c>
      <c r="D63" s="21"/>
      <c r="E63" s="58">
        <f t="shared" si="2"/>
        <v>59879943</v>
      </c>
      <c r="F63" s="22">
        <f t="shared" si="3"/>
        <v>2315.44</v>
      </c>
      <c r="G63" s="22">
        <f t="shared" si="4"/>
        <v>59877627.560000002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>
        <v>2315.44</v>
      </c>
      <c r="W63" s="28"/>
      <c r="X63" s="28"/>
      <c r="Y63" s="28"/>
    </row>
    <row r="64" spans="1:25" ht="16.5" thickBot="1" x14ac:dyDescent="0.3">
      <c r="A64" s="18" t="s">
        <v>125</v>
      </c>
      <c r="B64" s="19" t="s">
        <v>126</v>
      </c>
      <c r="C64" s="56">
        <v>1955067</v>
      </c>
      <c r="D64" s="21"/>
      <c r="E64" s="58">
        <f t="shared" si="2"/>
        <v>1955067</v>
      </c>
      <c r="F64" s="22">
        <f t="shared" si="3"/>
        <v>49721</v>
      </c>
      <c r="G64" s="22">
        <f t="shared" si="4"/>
        <v>1905346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>
        <v>49721</v>
      </c>
      <c r="W64" s="28"/>
      <c r="X64" s="28"/>
      <c r="Y64" s="28"/>
    </row>
    <row r="65" spans="1:25" ht="16.5" thickBot="1" x14ac:dyDescent="0.3">
      <c r="A65" s="18" t="s">
        <v>127</v>
      </c>
      <c r="B65" s="19" t="s">
        <v>128</v>
      </c>
      <c r="C65" s="56">
        <v>977352</v>
      </c>
      <c r="D65" s="21"/>
      <c r="E65" s="58">
        <f t="shared" si="2"/>
        <v>977352</v>
      </c>
      <c r="F65" s="22">
        <f t="shared" si="3"/>
        <v>587427.16</v>
      </c>
      <c r="G65" s="22">
        <f t="shared" si="4"/>
        <v>389924.83999999997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>
        <v>554263.49</v>
      </c>
      <c r="V65" s="28">
        <v>33163.67</v>
      </c>
      <c r="W65" s="28"/>
      <c r="X65" s="28"/>
      <c r="Y65" s="28"/>
    </row>
    <row r="66" spans="1:25" ht="16.5" thickBot="1" x14ac:dyDescent="0.3">
      <c r="A66" s="18" t="s">
        <v>129</v>
      </c>
      <c r="B66" s="19" t="s">
        <v>130</v>
      </c>
      <c r="C66" s="56">
        <v>8642579</v>
      </c>
      <c r="D66" s="21"/>
      <c r="E66" s="58">
        <f t="shared" si="2"/>
        <v>8642579</v>
      </c>
      <c r="F66" s="22">
        <f t="shared" si="3"/>
        <v>1983145.63</v>
      </c>
      <c r="G66" s="22">
        <f t="shared" si="4"/>
        <v>6659433.3700000001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>
        <v>496737.87</v>
      </c>
      <c r="T66" s="28">
        <v>88285.03</v>
      </c>
      <c r="U66" s="28">
        <v>123698.3</v>
      </c>
      <c r="V66" s="28">
        <v>328340.92</v>
      </c>
      <c r="W66" s="28">
        <v>119992.98</v>
      </c>
      <c r="X66" s="28">
        <v>73841.19</v>
      </c>
      <c r="Y66" s="28">
        <v>752249.34</v>
      </c>
    </row>
    <row r="67" spans="1:25" ht="16.5" thickBot="1" x14ac:dyDescent="0.3">
      <c r="A67" s="18" t="s">
        <v>131</v>
      </c>
      <c r="B67" s="19" t="s">
        <v>132</v>
      </c>
      <c r="C67" s="56">
        <v>1317857</v>
      </c>
      <c r="D67" s="21"/>
      <c r="E67" s="58">
        <f t="shared" si="2"/>
        <v>1317857</v>
      </c>
      <c r="F67" s="22">
        <f t="shared" si="3"/>
        <v>1317857</v>
      </c>
      <c r="G67" s="22">
        <f t="shared" si="4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>
        <f>721857+596000</f>
        <v>1317857</v>
      </c>
      <c r="W67" s="28"/>
      <c r="X67" s="28"/>
      <c r="Y67" s="28"/>
    </row>
    <row r="68" spans="1:25" ht="16.5" thickBot="1" x14ac:dyDescent="0.3">
      <c r="A68" s="18" t="s">
        <v>133</v>
      </c>
      <c r="B68" s="19" t="s">
        <v>134</v>
      </c>
      <c r="C68" s="56">
        <v>561911</v>
      </c>
      <c r="D68" s="21"/>
      <c r="E68" s="58">
        <f t="shared" si="2"/>
        <v>561911</v>
      </c>
      <c r="F68" s="22">
        <f t="shared" si="3"/>
        <v>131794.06</v>
      </c>
      <c r="G68" s="22">
        <f t="shared" si="4"/>
        <v>430116.94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>
        <f>15860.83+85514.59+30418.64</f>
        <v>131794.06</v>
      </c>
    </row>
    <row r="69" spans="1:25" ht="16.5" thickBot="1" x14ac:dyDescent="0.3">
      <c r="A69" s="18" t="s">
        <v>135</v>
      </c>
      <c r="B69" s="19" t="s">
        <v>136</v>
      </c>
      <c r="C69" s="56">
        <v>492806</v>
      </c>
      <c r="D69" s="21"/>
      <c r="E69" s="58">
        <f t="shared" si="2"/>
        <v>492806</v>
      </c>
      <c r="F69" s="22">
        <f t="shared" si="3"/>
        <v>50638</v>
      </c>
      <c r="G69" s="22">
        <f t="shared" si="4"/>
        <v>442168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>
        <v>50638</v>
      </c>
      <c r="V69" s="28"/>
      <c r="W69" s="28"/>
      <c r="X69" s="28"/>
      <c r="Y69" s="28"/>
    </row>
    <row r="70" spans="1:25" ht="16.5" thickBot="1" x14ac:dyDescent="0.3">
      <c r="A70" s="18" t="s">
        <v>137</v>
      </c>
      <c r="B70" s="19" t="s">
        <v>138</v>
      </c>
      <c r="C70" s="56">
        <v>2754154</v>
      </c>
      <c r="D70" s="21"/>
      <c r="E70" s="58">
        <f t="shared" si="2"/>
        <v>2754154</v>
      </c>
      <c r="F70" s="22">
        <f t="shared" si="3"/>
        <v>666586.12</v>
      </c>
      <c r="G70" s="22">
        <f t="shared" si="4"/>
        <v>2087567.88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>
        <v>666586.12</v>
      </c>
      <c r="Y70" s="28"/>
    </row>
    <row r="71" spans="1:25" ht="16.5" thickBot="1" x14ac:dyDescent="0.3">
      <c r="A71" s="18" t="s">
        <v>139</v>
      </c>
      <c r="B71" s="19" t="s">
        <v>140</v>
      </c>
      <c r="C71" s="56">
        <v>15407178</v>
      </c>
      <c r="D71" s="21"/>
      <c r="E71" s="58">
        <f t="shared" si="2"/>
        <v>15407178</v>
      </c>
      <c r="F71" s="22">
        <f t="shared" si="3"/>
        <v>2840641</v>
      </c>
      <c r="G71" s="22">
        <f t="shared" si="4"/>
        <v>12566537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>
        <v>1012185</v>
      </c>
      <c r="U71" s="28"/>
      <c r="V71" s="28">
        <v>835313</v>
      </c>
      <c r="W71" s="28">
        <v>993143</v>
      </c>
      <c r="X71" s="28"/>
      <c r="Y71" s="28"/>
    </row>
    <row r="72" spans="1:25" ht="16.5" thickBot="1" x14ac:dyDescent="0.3">
      <c r="A72" s="18" t="s">
        <v>141</v>
      </c>
      <c r="B72" s="19" t="s">
        <v>142</v>
      </c>
      <c r="C72" s="56">
        <v>151469</v>
      </c>
      <c r="D72" s="21"/>
      <c r="E72" s="58">
        <f t="shared" si="2"/>
        <v>151469</v>
      </c>
      <c r="F72" s="22">
        <f t="shared" si="3"/>
        <v>0</v>
      </c>
      <c r="G72" s="22">
        <f t="shared" si="4"/>
        <v>151469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6.5" thickBot="1" x14ac:dyDescent="0.3">
      <c r="A73" s="18" t="s">
        <v>143</v>
      </c>
      <c r="B73" s="19" t="s">
        <v>144</v>
      </c>
      <c r="C73" s="56">
        <v>659632</v>
      </c>
      <c r="D73" s="21"/>
      <c r="E73" s="58">
        <f t="shared" si="2"/>
        <v>659632</v>
      </c>
      <c r="F73" s="22">
        <f t="shared" si="3"/>
        <v>317589</v>
      </c>
      <c r="G73" s="22">
        <f t="shared" si="4"/>
        <v>342043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>
        <v>317589</v>
      </c>
      <c r="U73" s="28"/>
      <c r="V73" s="28"/>
      <c r="W73" s="28"/>
      <c r="X73" s="28"/>
      <c r="Y73" s="28"/>
    </row>
    <row r="74" spans="1:25" ht="16.5" thickBot="1" x14ac:dyDescent="0.3">
      <c r="A74" s="18" t="s">
        <v>145</v>
      </c>
      <c r="B74" s="19" t="s">
        <v>146</v>
      </c>
      <c r="C74" s="56">
        <v>7547548</v>
      </c>
      <c r="D74" s="21"/>
      <c r="E74" s="58">
        <f t="shared" si="2"/>
        <v>7547548</v>
      </c>
      <c r="F74" s="22">
        <f t="shared" si="3"/>
        <v>1355930.26</v>
      </c>
      <c r="G74" s="22">
        <f t="shared" si="4"/>
        <v>6191617.7400000002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>
        <v>1355930.26</v>
      </c>
      <c r="W74" s="28"/>
      <c r="X74" s="28"/>
      <c r="Y74" s="28"/>
    </row>
    <row r="75" spans="1:25" ht="16.5" thickBot="1" x14ac:dyDescent="0.3">
      <c r="A75" s="18" t="s">
        <v>147</v>
      </c>
      <c r="B75" s="19" t="s">
        <v>148</v>
      </c>
      <c r="C75" s="56">
        <v>2586429</v>
      </c>
      <c r="D75" s="21"/>
      <c r="E75" s="58">
        <f t="shared" si="2"/>
        <v>2586429</v>
      </c>
      <c r="F75" s="22">
        <f t="shared" ref="F75:F106" si="5">SUM(H75:AB75)</f>
        <v>487738.20999999996</v>
      </c>
      <c r="G75" s="22">
        <f t="shared" ref="G75:G106" si="6">E75-(F75+AC75+AD75)</f>
        <v>2098690.79</v>
      </c>
      <c r="H75" s="28"/>
      <c r="I75" s="28"/>
      <c r="J75" s="28"/>
      <c r="K75" s="28"/>
      <c r="L75" s="28"/>
      <c r="M75" s="28"/>
      <c r="N75" s="28">
        <v>121193.89</v>
      </c>
      <c r="O75" s="28"/>
      <c r="P75" s="28">
        <v>53619.58</v>
      </c>
      <c r="Q75" s="28"/>
      <c r="R75" s="28">
        <v>146158.49</v>
      </c>
      <c r="S75" s="28"/>
      <c r="T75" s="28"/>
      <c r="U75" s="28"/>
      <c r="V75" s="28">
        <v>166766.25</v>
      </c>
      <c r="W75" s="28"/>
      <c r="X75" s="28"/>
      <c r="Y75" s="28"/>
    </row>
    <row r="76" spans="1:25" ht="16.5" thickBot="1" x14ac:dyDescent="0.3">
      <c r="A76" s="18" t="s">
        <v>149</v>
      </c>
      <c r="B76" s="19" t="s">
        <v>150</v>
      </c>
      <c r="C76" s="56">
        <v>575974</v>
      </c>
      <c r="D76" s="21"/>
      <c r="E76" s="58">
        <f t="shared" ref="E76:E139" si="7">C76</f>
        <v>575974</v>
      </c>
      <c r="F76" s="22">
        <f t="shared" si="5"/>
        <v>0</v>
      </c>
      <c r="G76" s="22">
        <f t="shared" si="6"/>
        <v>575974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thickBot="1" x14ac:dyDescent="0.3">
      <c r="A77" s="18" t="s">
        <v>151</v>
      </c>
      <c r="B77" s="19" t="s">
        <v>152</v>
      </c>
      <c r="C77" s="56">
        <v>4255955</v>
      </c>
      <c r="D77" s="21"/>
      <c r="E77" s="58">
        <f t="shared" si="7"/>
        <v>4255955</v>
      </c>
      <c r="F77" s="22">
        <f t="shared" si="5"/>
        <v>0</v>
      </c>
      <c r="G77" s="22">
        <f t="shared" si="6"/>
        <v>4255955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6.5" thickBot="1" x14ac:dyDescent="0.3">
      <c r="A78" s="18" t="s">
        <v>153</v>
      </c>
      <c r="B78" s="19" t="s">
        <v>154</v>
      </c>
      <c r="C78" s="56">
        <v>4520262</v>
      </c>
      <c r="D78" s="21"/>
      <c r="E78" s="58">
        <f t="shared" si="7"/>
        <v>4520262</v>
      </c>
      <c r="F78" s="22">
        <f t="shared" si="5"/>
        <v>0</v>
      </c>
      <c r="G78" s="22">
        <f t="shared" si="6"/>
        <v>4520262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6.5" thickBot="1" x14ac:dyDescent="0.3">
      <c r="A79" s="18" t="s">
        <v>155</v>
      </c>
      <c r="B79" s="19" t="s">
        <v>156</v>
      </c>
      <c r="C79" s="56">
        <v>1103531</v>
      </c>
      <c r="D79" s="21"/>
      <c r="E79" s="58">
        <f t="shared" si="7"/>
        <v>1103531</v>
      </c>
      <c r="F79" s="22">
        <f t="shared" si="5"/>
        <v>0</v>
      </c>
      <c r="G79" s="22">
        <f t="shared" si="6"/>
        <v>1103531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6.5" thickBot="1" x14ac:dyDescent="0.3">
      <c r="A80" s="18" t="s">
        <v>157</v>
      </c>
      <c r="B80" s="19" t="s">
        <v>158</v>
      </c>
      <c r="C80" s="56">
        <v>219276</v>
      </c>
      <c r="D80" s="21"/>
      <c r="E80" s="58">
        <f t="shared" si="7"/>
        <v>219276</v>
      </c>
      <c r="F80" s="22">
        <f t="shared" si="5"/>
        <v>0</v>
      </c>
      <c r="G80" s="22">
        <f t="shared" si="6"/>
        <v>219276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6.5" thickBot="1" x14ac:dyDescent="0.3">
      <c r="A81" s="18" t="s">
        <v>159</v>
      </c>
      <c r="B81" s="19" t="s">
        <v>160</v>
      </c>
      <c r="C81" s="56">
        <v>627206</v>
      </c>
      <c r="D81" s="21"/>
      <c r="E81" s="58">
        <f t="shared" si="7"/>
        <v>627206</v>
      </c>
      <c r="F81" s="22">
        <f t="shared" si="5"/>
        <v>347252.34</v>
      </c>
      <c r="G81" s="22">
        <f t="shared" si="6"/>
        <v>279953.65999999997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>
        <v>347252.34</v>
      </c>
      <c r="W81" s="28"/>
      <c r="X81" s="28"/>
      <c r="Y81" s="28"/>
    </row>
    <row r="82" spans="1:25" ht="16.5" thickBot="1" x14ac:dyDescent="0.3">
      <c r="A82" s="18" t="s">
        <v>161</v>
      </c>
      <c r="B82" s="19" t="s">
        <v>162</v>
      </c>
      <c r="C82" s="56">
        <v>888668</v>
      </c>
      <c r="D82" s="21"/>
      <c r="E82" s="58">
        <f t="shared" si="7"/>
        <v>888668</v>
      </c>
      <c r="F82" s="22">
        <f t="shared" si="5"/>
        <v>149043.89000000001</v>
      </c>
      <c r="G82" s="22">
        <f t="shared" si="6"/>
        <v>739624.11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>
        <v>103609.72</v>
      </c>
      <c r="T82" s="28"/>
      <c r="U82" s="28">
        <v>45434.17</v>
      </c>
      <c r="V82" s="28"/>
      <c r="W82" s="28"/>
      <c r="X82" s="28"/>
      <c r="Y82" s="28"/>
    </row>
    <row r="83" spans="1:25" ht="16.5" thickBot="1" x14ac:dyDescent="0.3">
      <c r="A83" s="18" t="s">
        <v>163</v>
      </c>
      <c r="B83" s="19" t="s">
        <v>164</v>
      </c>
      <c r="C83" s="56">
        <v>1647416</v>
      </c>
      <c r="D83" s="21"/>
      <c r="E83" s="58">
        <f t="shared" si="7"/>
        <v>1647416</v>
      </c>
      <c r="F83" s="22">
        <f t="shared" si="5"/>
        <v>481538.34</v>
      </c>
      <c r="G83" s="22">
        <f t="shared" si="6"/>
        <v>1165877.6599999999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>
        <v>246996.16</v>
      </c>
      <c r="S83" s="28"/>
      <c r="T83" s="28"/>
      <c r="U83" s="28">
        <v>121662.62</v>
      </c>
      <c r="V83" s="28"/>
      <c r="W83" s="28"/>
      <c r="X83" s="28">
        <v>112879.56</v>
      </c>
      <c r="Y83" s="28"/>
    </row>
    <row r="84" spans="1:25" ht="16.5" thickBot="1" x14ac:dyDescent="0.3">
      <c r="A84" s="18" t="s">
        <v>165</v>
      </c>
      <c r="B84" s="19" t="s">
        <v>166</v>
      </c>
      <c r="C84" s="56">
        <v>149083</v>
      </c>
      <c r="D84" s="21"/>
      <c r="E84" s="58">
        <f t="shared" si="7"/>
        <v>149083</v>
      </c>
      <c r="F84" s="22">
        <f t="shared" si="5"/>
        <v>17382.89</v>
      </c>
      <c r="G84" s="22">
        <f t="shared" si="6"/>
        <v>131700.10999999999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>
        <v>17382.89</v>
      </c>
      <c r="V84" s="28"/>
      <c r="W84" s="28"/>
      <c r="X84" s="28"/>
      <c r="Y84" s="28"/>
    </row>
    <row r="85" spans="1:25" ht="16.5" thickBot="1" x14ac:dyDescent="0.3">
      <c r="A85" s="18" t="s">
        <v>167</v>
      </c>
      <c r="B85" s="19" t="s">
        <v>168</v>
      </c>
      <c r="C85" s="56">
        <v>2069535</v>
      </c>
      <c r="D85" s="21"/>
      <c r="E85" s="58">
        <f t="shared" si="7"/>
        <v>2069535</v>
      </c>
      <c r="F85" s="22">
        <f t="shared" si="5"/>
        <v>1394137.8599999999</v>
      </c>
      <c r="G85" s="22">
        <f t="shared" si="6"/>
        <v>675397.14000000013</v>
      </c>
      <c r="H85" s="28"/>
      <c r="I85" s="28"/>
      <c r="J85" s="28"/>
      <c r="K85" s="28"/>
      <c r="L85" s="28">
        <v>47954.85</v>
      </c>
      <c r="M85" s="28">
        <v>42928.28</v>
      </c>
      <c r="N85" s="28">
        <v>207710.59</v>
      </c>
      <c r="O85" s="28">
        <v>201769.01</v>
      </c>
      <c r="P85" s="28">
        <f>194594.49+27160</f>
        <v>221754.49</v>
      </c>
      <c r="Q85" s="28"/>
      <c r="R85" s="28">
        <v>423940.51</v>
      </c>
      <c r="S85" s="28">
        <f>19350+160382.74</f>
        <v>179732.74</v>
      </c>
      <c r="T85" s="28"/>
      <c r="U85" s="28"/>
      <c r="V85" s="28">
        <v>25200</v>
      </c>
      <c r="W85" s="28">
        <v>27786.880000000001</v>
      </c>
      <c r="X85" s="28">
        <v>15360.51</v>
      </c>
      <c r="Y85" s="28"/>
    </row>
    <row r="86" spans="1:25" ht="16.5" thickBot="1" x14ac:dyDescent="0.3">
      <c r="A86" s="18" t="s">
        <v>169</v>
      </c>
      <c r="B86" s="19" t="s">
        <v>170</v>
      </c>
      <c r="C86" s="56">
        <v>797708</v>
      </c>
      <c r="D86" s="21"/>
      <c r="E86" s="58">
        <f t="shared" si="7"/>
        <v>797708</v>
      </c>
      <c r="F86" s="22">
        <f t="shared" si="5"/>
        <v>495910.02</v>
      </c>
      <c r="G86" s="22">
        <f t="shared" si="6"/>
        <v>301797.98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74">
        <v>403789.71</v>
      </c>
      <c r="T86" s="28"/>
      <c r="U86" s="28"/>
      <c r="V86" s="28"/>
      <c r="W86" s="28">
        <v>92120.31</v>
      </c>
      <c r="X86" s="28"/>
      <c r="Y86" s="28"/>
    </row>
    <row r="87" spans="1:25" ht="16.5" thickBot="1" x14ac:dyDescent="0.3">
      <c r="A87" s="18" t="s">
        <v>171</v>
      </c>
      <c r="B87" s="19" t="s">
        <v>172</v>
      </c>
      <c r="C87" s="56">
        <v>331516</v>
      </c>
      <c r="D87" s="21"/>
      <c r="E87" s="58">
        <f t="shared" si="7"/>
        <v>331516</v>
      </c>
      <c r="F87" s="22">
        <f t="shared" si="5"/>
        <v>0</v>
      </c>
      <c r="G87" s="22">
        <f t="shared" si="6"/>
        <v>331516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6.5" thickBot="1" x14ac:dyDescent="0.3">
      <c r="A88" s="18" t="s">
        <v>173</v>
      </c>
      <c r="B88" s="19" t="s">
        <v>174</v>
      </c>
      <c r="C88" s="56">
        <v>68267154</v>
      </c>
      <c r="D88" s="21"/>
      <c r="E88" s="58">
        <f t="shared" si="7"/>
        <v>68267154</v>
      </c>
      <c r="F88" s="22">
        <f t="shared" si="5"/>
        <v>0</v>
      </c>
      <c r="G88" s="22">
        <f t="shared" si="6"/>
        <v>68267154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6.5" thickBot="1" x14ac:dyDescent="0.3">
      <c r="A89" s="18" t="s">
        <v>175</v>
      </c>
      <c r="B89" s="19" t="s">
        <v>176</v>
      </c>
      <c r="C89" s="56">
        <v>249328</v>
      </c>
      <c r="D89" s="21"/>
      <c r="E89" s="58">
        <f t="shared" si="7"/>
        <v>249328</v>
      </c>
      <c r="F89" s="22">
        <f t="shared" si="5"/>
        <v>49830.400000000001</v>
      </c>
      <c r="G89" s="22">
        <f t="shared" si="6"/>
        <v>199497.60000000001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>
        <v>49830.400000000001</v>
      </c>
      <c r="W89" s="28"/>
      <c r="X89" s="28"/>
      <c r="Y89" s="28"/>
    </row>
    <row r="90" spans="1:25" ht="16.5" thickBot="1" x14ac:dyDescent="0.3">
      <c r="A90" s="18" t="s">
        <v>177</v>
      </c>
      <c r="B90" s="19" t="s">
        <v>178</v>
      </c>
      <c r="C90" s="56">
        <v>134145</v>
      </c>
      <c r="D90" s="21"/>
      <c r="E90" s="58">
        <f t="shared" si="7"/>
        <v>134145</v>
      </c>
      <c r="F90" s="22">
        <f t="shared" si="5"/>
        <v>0</v>
      </c>
      <c r="G90" s="22">
        <f t="shared" si="6"/>
        <v>134145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6.5" thickBot="1" x14ac:dyDescent="0.3">
      <c r="A91" s="18" t="s">
        <v>179</v>
      </c>
      <c r="B91" s="19" t="s">
        <v>180</v>
      </c>
      <c r="C91" s="56">
        <v>229892</v>
      </c>
      <c r="D91" s="21"/>
      <c r="E91" s="58">
        <f t="shared" si="7"/>
        <v>229892</v>
      </c>
      <c r="F91" s="22">
        <f t="shared" si="5"/>
        <v>229730</v>
      </c>
      <c r="G91" s="22">
        <f t="shared" si="6"/>
        <v>162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>
        <v>229730</v>
      </c>
      <c r="S91" s="28"/>
      <c r="T91" s="28"/>
      <c r="U91" s="28"/>
      <c r="V91" s="28"/>
      <c r="W91" s="28"/>
      <c r="X91" s="28"/>
      <c r="Y91" s="28"/>
    </row>
    <row r="92" spans="1:25" ht="16.5" thickBot="1" x14ac:dyDescent="0.3">
      <c r="A92" s="18" t="s">
        <v>181</v>
      </c>
      <c r="B92" s="19" t="s">
        <v>182</v>
      </c>
      <c r="C92" s="56">
        <v>420487</v>
      </c>
      <c r="D92" s="21"/>
      <c r="E92" s="58">
        <f t="shared" si="7"/>
        <v>420487</v>
      </c>
      <c r="F92" s="22">
        <f t="shared" si="5"/>
        <v>143382.78</v>
      </c>
      <c r="G92" s="22">
        <f t="shared" si="6"/>
        <v>277104.21999999997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>
        <v>143382.78</v>
      </c>
      <c r="W92" s="28"/>
      <c r="X92" s="28"/>
      <c r="Y92" s="28"/>
    </row>
    <row r="93" spans="1:25" ht="16.5" thickBot="1" x14ac:dyDescent="0.3">
      <c r="A93" s="18" t="s">
        <v>183</v>
      </c>
      <c r="B93" s="19" t="s">
        <v>184</v>
      </c>
      <c r="C93" s="56">
        <v>253909</v>
      </c>
      <c r="D93" s="21"/>
      <c r="E93" s="58">
        <f t="shared" si="7"/>
        <v>253909</v>
      </c>
      <c r="F93" s="22">
        <f t="shared" si="5"/>
        <v>124054.43</v>
      </c>
      <c r="G93" s="22">
        <f t="shared" si="6"/>
        <v>129854.57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>
        <v>62643</v>
      </c>
      <c r="U93" s="28">
        <v>62643</v>
      </c>
      <c r="V93" s="28">
        <f>61411.43-62643</f>
        <v>-1231.5699999999997</v>
      </c>
      <c r="W93" s="28"/>
      <c r="X93" s="28"/>
      <c r="Y93" s="28"/>
    </row>
    <row r="94" spans="1:25" ht="16.5" thickBot="1" x14ac:dyDescent="0.3">
      <c r="A94" s="18" t="s">
        <v>185</v>
      </c>
      <c r="B94" s="19" t="s">
        <v>186</v>
      </c>
      <c r="C94" s="56">
        <v>116392</v>
      </c>
      <c r="D94" s="21"/>
      <c r="E94" s="58">
        <f t="shared" si="7"/>
        <v>116392</v>
      </c>
      <c r="F94" s="22">
        <f t="shared" si="5"/>
        <v>26925</v>
      </c>
      <c r="G94" s="22">
        <f t="shared" si="6"/>
        <v>89467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>
        <v>20923.62</v>
      </c>
      <c r="U94" s="28"/>
      <c r="V94" s="28">
        <v>6001.38</v>
      </c>
      <c r="W94" s="28"/>
      <c r="X94" s="28"/>
      <c r="Y94" s="28"/>
    </row>
    <row r="95" spans="1:25" ht="16.5" thickBot="1" x14ac:dyDescent="0.3">
      <c r="A95" s="18" t="s">
        <v>187</v>
      </c>
      <c r="B95" s="19" t="s">
        <v>188</v>
      </c>
      <c r="C95" s="56">
        <v>1505688</v>
      </c>
      <c r="D95" s="21"/>
      <c r="E95" s="58">
        <f t="shared" si="7"/>
        <v>1505688</v>
      </c>
      <c r="F95" s="22">
        <f t="shared" si="5"/>
        <v>254445.38</v>
      </c>
      <c r="G95" s="22">
        <f t="shared" si="6"/>
        <v>1251242.6200000001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>
        <v>242015.22</v>
      </c>
      <c r="V95" s="28"/>
      <c r="W95" s="28"/>
      <c r="X95" s="28">
        <v>12430.16</v>
      </c>
      <c r="Y95" s="28"/>
    </row>
    <row r="96" spans="1:25" ht="16.5" thickBot="1" x14ac:dyDescent="0.3">
      <c r="A96" s="18" t="s">
        <v>189</v>
      </c>
      <c r="B96" s="19" t="s">
        <v>190</v>
      </c>
      <c r="C96" s="56">
        <v>1735506</v>
      </c>
      <c r="D96" s="21"/>
      <c r="E96" s="58">
        <f t="shared" si="7"/>
        <v>1735506</v>
      </c>
      <c r="F96" s="22">
        <f t="shared" si="5"/>
        <v>593460.13</v>
      </c>
      <c r="G96" s="22">
        <f t="shared" si="6"/>
        <v>1142045.8700000001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>
        <v>330013.5</v>
      </c>
      <c r="T96" s="28">
        <f>43946.63+38028.93</f>
        <v>81975.56</v>
      </c>
      <c r="U96" s="28">
        <v>45916.95</v>
      </c>
      <c r="V96" s="28">
        <v>44670.33</v>
      </c>
      <c r="W96" s="28"/>
      <c r="X96" s="28"/>
      <c r="Y96" s="28">
        <v>90883.79</v>
      </c>
    </row>
    <row r="97" spans="1:25" ht="16.5" thickBot="1" x14ac:dyDescent="0.3">
      <c r="A97" s="18" t="s">
        <v>191</v>
      </c>
      <c r="B97" s="19" t="s">
        <v>192</v>
      </c>
      <c r="C97" s="56">
        <v>4436284</v>
      </c>
      <c r="D97" s="21"/>
      <c r="E97" s="58">
        <f t="shared" si="7"/>
        <v>4436284</v>
      </c>
      <c r="F97" s="22">
        <f t="shared" si="5"/>
        <v>0</v>
      </c>
      <c r="G97" s="22">
        <f t="shared" si="6"/>
        <v>4436284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6.5" thickBot="1" x14ac:dyDescent="0.3">
      <c r="A98" s="18" t="s">
        <v>193</v>
      </c>
      <c r="B98" s="19" t="s">
        <v>194</v>
      </c>
      <c r="C98" s="56">
        <v>738607</v>
      </c>
      <c r="D98" s="21"/>
      <c r="E98" s="58">
        <f t="shared" si="7"/>
        <v>738607</v>
      </c>
      <c r="F98" s="22">
        <f t="shared" si="5"/>
        <v>210026.37</v>
      </c>
      <c r="G98" s="22">
        <f t="shared" si="6"/>
        <v>528580.63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>
        <v>210026.37</v>
      </c>
      <c r="W98" s="28"/>
      <c r="X98" s="28"/>
      <c r="Y98" s="28"/>
    </row>
    <row r="99" spans="1:25" ht="16.5" thickBot="1" x14ac:dyDescent="0.3">
      <c r="A99" s="18" t="s">
        <v>195</v>
      </c>
      <c r="B99" s="19" t="s">
        <v>196</v>
      </c>
      <c r="C99" s="56">
        <v>864350</v>
      </c>
      <c r="D99" s="21"/>
      <c r="E99" s="58">
        <f t="shared" si="7"/>
        <v>864350</v>
      </c>
      <c r="F99" s="22">
        <f t="shared" si="5"/>
        <v>0</v>
      </c>
      <c r="G99" s="22">
        <f t="shared" si="6"/>
        <v>864350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6.5" thickBot="1" x14ac:dyDescent="0.3">
      <c r="A100" s="18" t="s">
        <v>197</v>
      </c>
      <c r="B100" s="19" t="s">
        <v>198</v>
      </c>
      <c r="C100" s="56">
        <v>19777060</v>
      </c>
      <c r="D100" s="21"/>
      <c r="E100" s="58">
        <f t="shared" si="7"/>
        <v>19777060</v>
      </c>
      <c r="F100" s="22">
        <f t="shared" si="5"/>
        <v>14315749.709999999</v>
      </c>
      <c r="G100" s="22">
        <f t="shared" si="6"/>
        <v>5461310.290000001</v>
      </c>
      <c r="H100" s="28"/>
      <c r="I100" s="28"/>
      <c r="J100" s="28"/>
      <c r="K100" s="28"/>
      <c r="L100" s="28"/>
      <c r="M100" s="28"/>
      <c r="N100" s="28"/>
      <c r="O100" s="28"/>
      <c r="P100" s="28">
        <f>11161412+1015700.44</f>
        <v>12177112.439999999</v>
      </c>
      <c r="Q100" s="28"/>
      <c r="R100" s="28">
        <v>479756.03</v>
      </c>
      <c r="S100" s="28"/>
      <c r="T100" s="28"/>
      <c r="U100" s="28">
        <v>709781.78</v>
      </c>
      <c r="V100" s="28">
        <v>450000.65</v>
      </c>
      <c r="W100" s="28"/>
      <c r="X100" s="28">
        <v>499098.81</v>
      </c>
      <c r="Y100" s="28"/>
    </row>
    <row r="101" spans="1:25" ht="16.5" thickBot="1" x14ac:dyDescent="0.3">
      <c r="A101" s="18" t="s">
        <v>199</v>
      </c>
      <c r="B101" s="19" t="s">
        <v>200</v>
      </c>
      <c r="C101" s="56">
        <v>11956135</v>
      </c>
      <c r="D101" s="21"/>
      <c r="E101" s="58">
        <f t="shared" si="7"/>
        <v>11956135</v>
      </c>
      <c r="F101" s="22">
        <f t="shared" si="5"/>
        <v>2463089.61</v>
      </c>
      <c r="G101" s="22">
        <f t="shared" si="6"/>
        <v>9493045.3900000006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>
        <v>2463089.61</v>
      </c>
      <c r="S101" s="28"/>
      <c r="T101" s="28"/>
      <c r="U101" s="28"/>
      <c r="V101" s="28"/>
      <c r="W101" s="28"/>
      <c r="X101" s="28"/>
      <c r="Y101" s="28"/>
    </row>
    <row r="102" spans="1:25" ht="16.5" thickBot="1" x14ac:dyDescent="0.3">
      <c r="A102" s="18" t="s">
        <v>201</v>
      </c>
      <c r="B102" s="19" t="s">
        <v>202</v>
      </c>
      <c r="C102" s="56">
        <v>2099209</v>
      </c>
      <c r="D102" s="21"/>
      <c r="E102" s="58">
        <f t="shared" si="7"/>
        <v>2099209</v>
      </c>
      <c r="F102" s="22">
        <f t="shared" si="5"/>
        <v>146761.61000000002</v>
      </c>
      <c r="G102" s="22">
        <f t="shared" si="6"/>
        <v>1952447.39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>
        <v>127028.63</v>
      </c>
      <c r="W102" s="28"/>
      <c r="X102" s="28"/>
      <c r="Y102" s="28">
        <v>19732.98</v>
      </c>
    </row>
    <row r="103" spans="1:25" ht="16.5" thickBot="1" x14ac:dyDescent="0.3">
      <c r="A103" s="18" t="s">
        <v>203</v>
      </c>
      <c r="B103" s="19" t="s">
        <v>204</v>
      </c>
      <c r="C103" s="56">
        <v>3060149</v>
      </c>
      <c r="D103" s="21"/>
      <c r="E103" s="58">
        <f t="shared" si="7"/>
        <v>3060149</v>
      </c>
      <c r="F103" s="22">
        <f t="shared" si="5"/>
        <v>934355.76</v>
      </c>
      <c r="G103" s="22">
        <f t="shared" si="6"/>
        <v>2125793.2400000002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>
        <v>103359.42</v>
      </c>
      <c r="S103" s="28"/>
      <c r="T103" s="28"/>
      <c r="U103" s="28">
        <v>152902</v>
      </c>
      <c r="V103" s="28">
        <v>275149.59999999998</v>
      </c>
      <c r="W103" s="28"/>
      <c r="X103" s="28"/>
      <c r="Y103" s="28">
        <v>402944.74</v>
      </c>
    </row>
    <row r="104" spans="1:25" ht="16.5" thickBot="1" x14ac:dyDescent="0.3">
      <c r="A104" s="18" t="s">
        <v>205</v>
      </c>
      <c r="B104" s="19" t="s">
        <v>206</v>
      </c>
      <c r="C104" s="56">
        <v>286028</v>
      </c>
      <c r="D104" s="21"/>
      <c r="E104" s="58">
        <f t="shared" si="7"/>
        <v>286028</v>
      </c>
      <c r="F104" s="22">
        <f t="shared" si="5"/>
        <v>199487.76</v>
      </c>
      <c r="G104" s="22">
        <f t="shared" si="6"/>
        <v>86540.239999999991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v>66006.48</v>
      </c>
      <c r="S104" s="28"/>
      <c r="T104" s="28"/>
      <c r="U104" s="28">
        <v>122851.52</v>
      </c>
      <c r="V104" s="28">
        <v>10629.76</v>
      </c>
      <c r="W104" s="28"/>
      <c r="X104" s="28"/>
      <c r="Y104" s="28"/>
    </row>
    <row r="105" spans="1:25" ht="16.5" thickBot="1" x14ac:dyDescent="0.3">
      <c r="A105" s="18" t="s">
        <v>207</v>
      </c>
      <c r="B105" s="19" t="s">
        <v>208</v>
      </c>
      <c r="C105" s="56">
        <v>624832</v>
      </c>
      <c r="D105" s="21"/>
      <c r="E105" s="58">
        <f t="shared" si="7"/>
        <v>624832</v>
      </c>
      <c r="F105" s="22">
        <f t="shared" si="5"/>
        <v>0</v>
      </c>
      <c r="G105" s="22">
        <f t="shared" si="6"/>
        <v>624832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 x14ac:dyDescent="0.3">
      <c r="A106" s="18" t="s">
        <v>209</v>
      </c>
      <c r="B106" s="19" t="s">
        <v>210</v>
      </c>
      <c r="C106" s="56">
        <v>537873</v>
      </c>
      <c r="D106" s="21"/>
      <c r="E106" s="58">
        <f t="shared" si="7"/>
        <v>537873</v>
      </c>
      <c r="F106" s="22">
        <f t="shared" si="5"/>
        <v>260076</v>
      </c>
      <c r="G106" s="22">
        <f t="shared" si="6"/>
        <v>277797</v>
      </c>
      <c r="H106" s="28"/>
      <c r="I106" s="28"/>
      <c r="J106" s="28"/>
      <c r="K106" s="28"/>
      <c r="L106" s="28"/>
      <c r="M106" s="28"/>
      <c r="N106" s="28"/>
      <c r="O106" s="28">
        <v>151762</v>
      </c>
      <c r="P106" s="28">
        <v>40250</v>
      </c>
      <c r="Q106" s="28"/>
      <c r="R106" s="28"/>
      <c r="S106" s="28"/>
      <c r="T106" s="28"/>
      <c r="U106" s="28"/>
      <c r="V106" s="28">
        <v>68064</v>
      </c>
      <c r="W106" s="28"/>
      <c r="X106" s="28"/>
      <c r="Y106" s="28"/>
    </row>
    <row r="107" spans="1:25" ht="16.5" thickBot="1" x14ac:dyDescent="0.3">
      <c r="A107" s="18" t="s">
        <v>211</v>
      </c>
      <c r="B107" s="19" t="s">
        <v>212</v>
      </c>
      <c r="C107" s="56">
        <v>223458</v>
      </c>
      <c r="D107" s="21"/>
      <c r="E107" s="58">
        <f t="shared" si="7"/>
        <v>223458</v>
      </c>
      <c r="F107" s="22">
        <f t="shared" ref="F107:F138" si="8">SUM(H107:AB107)</f>
        <v>222259.87</v>
      </c>
      <c r="G107" s="22">
        <f t="shared" ref="G107:G138" si="9">E107-(F107+AC107+AD107)</f>
        <v>1198.1300000000047</v>
      </c>
      <c r="H107" s="28"/>
      <c r="I107" s="28"/>
      <c r="J107" s="28"/>
      <c r="K107" s="28"/>
      <c r="L107" s="28"/>
      <c r="M107" s="28">
        <v>95965</v>
      </c>
      <c r="N107" s="28"/>
      <c r="O107" s="28"/>
      <c r="P107" s="28">
        <v>19000</v>
      </c>
      <c r="Q107" s="28">
        <v>14750</v>
      </c>
      <c r="R107" s="28"/>
      <c r="S107" s="28">
        <v>38593.11</v>
      </c>
      <c r="T107" s="28"/>
      <c r="U107" s="28"/>
      <c r="V107" s="28">
        <v>12100</v>
      </c>
      <c r="W107" s="28"/>
      <c r="X107" s="28">
        <f>345.4+21630+2474.32</f>
        <v>24449.72</v>
      </c>
      <c r="Y107" s="28">
        <v>17402.04</v>
      </c>
    </row>
    <row r="108" spans="1:25" ht="16.5" thickBot="1" x14ac:dyDescent="0.3">
      <c r="A108" s="18" t="s">
        <v>213</v>
      </c>
      <c r="B108" s="19" t="s">
        <v>214</v>
      </c>
      <c r="C108" s="56">
        <v>10085</v>
      </c>
      <c r="D108" s="21"/>
      <c r="E108" s="58">
        <f t="shared" si="7"/>
        <v>10085</v>
      </c>
      <c r="F108" s="22">
        <f t="shared" si="8"/>
        <v>0</v>
      </c>
      <c r="G108" s="22">
        <f t="shared" si="9"/>
        <v>10085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6.5" thickBot="1" x14ac:dyDescent="0.3">
      <c r="A109" s="18" t="s">
        <v>215</v>
      </c>
      <c r="B109" s="19" t="s">
        <v>216</v>
      </c>
      <c r="C109" s="56">
        <v>276063</v>
      </c>
      <c r="D109" s="21"/>
      <c r="E109" s="58">
        <f t="shared" si="7"/>
        <v>276063</v>
      </c>
      <c r="F109" s="22">
        <f t="shared" si="8"/>
        <v>184733.27</v>
      </c>
      <c r="G109" s="22">
        <f t="shared" si="9"/>
        <v>91329.73000000001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>
        <v>178700</v>
      </c>
      <c r="S109" s="28"/>
      <c r="T109" s="28"/>
      <c r="U109" s="28"/>
      <c r="V109" s="28">
        <v>5073.2700000000004</v>
      </c>
      <c r="W109" s="28"/>
      <c r="X109" s="28">
        <v>960</v>
      </c>
      <c r="Y109" s="28"/>
    </row>
    <row r="110" spans="1:25" ht="16.5" thickBot="1" x14ac:dyDescent="0.3">
      <c r="A110" s="18" t="s">
        <v>217</v>
      </c>
      <c r="B110" s="19" t="s">
        <v>218</v>
      </c>
      <c r="C110" s="56">
        <v>779399</v>
      </c>
      <c r="D110" s="21"/>
      <c r="E110" s="58">
        <f t="shared" si="7"/>
        <v>779399</v>
      </c>
      <c r="F110" s="22">
        <f t="shared" si="8"/>
        <v>0</v>
      </c>
      <c r="G110" s="22">
        <f t="shared" si="9"/>
        <v>779399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6.5" thickBot="1" x14ac:dyDescent="0.3">
      <c r="A111" s="18" t="s">
        <v>219</v>
      </c>
      <c r="B111" s="19" t="s">
        <v>220</v>
      </c>
      <c r="C111" s="56">
        <v>177883</v>
      </c>
      <c r="D111" s="21"/>
      <c r="E111" s="58">
        <f t="shared" si="7"/>
        <v>177883</v>
      </c>
      <c r="F111" s="22">
        <f t="shared" si="8"/>
        <v>45145.53</v>
      </c>
      <c r="G111" s="22">
        <f t="shared" si="9"/>
        <v>132737.47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>
        <v>45145.53</v>
      </c>
      <c r="W111" s="28"/>
      <c r="X111" s="28"/>
      <c r="Y111" s="28"/>
    </row>
    <row r="112" spans="1:25" ht="16.5" thickBot="1" x14ac:dyDescent="0.3">
      <c r="A112" s="18" t="s">
        <v>221</v>
      </c>
      <c r="B112" s="19" t="s">
        <v>222</v>
      </c>
      <c r="C112" s="56">
        <v>3344310</v>
      </c>
      <c r="D112" s="21"/>
      <c r="E112" s="58">
        <f t="shared" si="7"/>
        <v>3344310</v>
      </c>
      <c r="F112" s="22">
        <f t="shared" si="8"/>
        <v>0</v>
      </c>
      <c r="G112" s="22">
        <f t="shared" si="9"/>
        <v>3344310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6.5" thickBot="1" x14ac:dyDescent="0.3">
      <c r="A113" s="18" t="s">
        <v>223</v>
      </c>
      <c r="B113" s="19" t="s">
        <v>224</v>
      </c>
      <c r="C113" s="56">
        <v>192889</v>
      </c>
      <c r="D113" s="21"/>
      <c r="E113" s="58">
        <f t="shared" si="7"/>
        <v>192889</v>
      </c>
      <c r="F113" s="22">
        <f t="shared" si="8"/>
        <v>38577.800000000003</v>
      </c>
      <c r="G113" s="22">
        <f t="shared" si="9"/>
        <v>154311.20000000001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>
        <v>38577.800000000003</v>
      </c>
      <c r="W113" s="28"/>
      <c r="X113" s="28"/>
      <c r="Y113" s="28"/>
    </row>
    <row r="114" spans="1:25" ht="16.5" thickBot="1" x14ac:dyDescent="0.3">
      <c r="A114" s="18" t="s">
        <v>225</v>
      </c>
      <c r="B114" s="19" t="s">
        <v>226</v>
      </c>
      <c r="C114" s="56">
        <v>153855</v>
      </c>
      <c r="D114" s="21"/>
      <c r="E114" s="58">
        <f t="shared" si="7"/>
        <v>153855</v>
      </c>
      <c r="F114" s="22">
        <f t="shared" si="8"/>
        <v>28747</v>
      </c>
      <c r="G114" s="22">
        <f t="shared" si="9"/>
        <v>125108</v>
      </c>
      <c r="H114" s="28"/>
      <c r="I114" s="28"/>
      <c r="J114" s="28"/>
      <c r="K114" s="28">
        <v>28747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6.5" thickBot="1" x14ac:dyDescent="0.3">
      <c r="A115" s="18" t="s">
        <v>227</v>
      </c>
      <c r="B115" s="19" t="s">
        <v>228</v>
      </c>
      <c r="C115" s="56">
        <v>135257</v>
      </c>
      <c r="D115" s="21"/>
      <c r="E115" s="58">
        <f t="shared" si="7"/>
        <v>135257</v>
      </c>
      <c r="F115" s="22">
        <f t="shared" si="8"/>
        <v>102610</v>
      </c>
      <c r="G115" s="22">
        <f t="shared" si="9"/>
        <v>32647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>
        <v>102610</v>
      </c>
      <c r="X115" s="28"/>
      <c r="Y115" s="28"/>
    </row>
    <row r="116" spans="1:25" ht="16.5" thickBot="1" x14ac:dyDescent="0.3">
      <c r="A116" s="18" t="s">
        <v>229</v>
      </c>
      <c r="B116" s="19" t="s">
        <v>230</v>
      </c>
      <c r="C116" s="56">
        <v>126686</v>
      </c>
      <c r="D116" s="21"/>
      <c r="E116" s="58">
        <f t="shared" si="7"/>
        <v>126686</v>
      </c>
      <c r="F116" s="22">
        <f t="shared" si="8"/>
        <v>0</v>
      </c>
      <c r="G116" s="22">
        <f t="shared" si="9"/>
        <v>126686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6.5" thickBot="1" x14ac:dyDescent="0.3">
      <c r="A117" s="18" t="s">
        <v>231</v>
      </c>
      <c r="B117" s="19" t="s">
        <v>232</v>
      </c>
      <c r="C117" s="56">
        <v>572414</v>
      </c>
      <c r="D117" s="21"/>
      <c r="E117" s="58">
        <f t="shared" si="7"/>
        <v>572414</v>
      </c>
      <c r="F117" s="22">
        <f t="shared" si="8"/>
        <v>136773.28</v>
      </c>
      <c r="G117" s="22">
        <f t="shared" si="9"/>
        <v>435640.72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>
        <v>134343</v>
      </c>
      <c r="U117" s="28">
        <v>2430.2800000000002</v>
      </c>
      <c r="V117" s="28"/>
      <c r="W117" s="28"/>
      <c r="X117" s="28"/>
      <c r="Y117" s="28"/>
    </row>
    <row r="118" spans="1:25" ht="16.5" thickBot="1" x14ac:dyDescent="0.3">
      <c r="A118" s="18" t="s">
        <v>233</v>
      </c>
      <c r="B118" s="19" t="s">
        <v>234</v>
      </c>
      <c r="C118" s="56">
        <v>45539408</v>
      </c>
      <c r="D118" s="21"/>
      <c r="E118" s="58">
        <f t="shared" si="7"/>
        <v>45539408</v>
      </c>
      <c r="F118" s="22">
        <f t="shared" si="8"/>
        <v>14488601.73</v>
      </c>
      <c r="G118" s="22">
        <f t="shared" si="9"/>
        <v>31050806.27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>
        <f>2094902.44+4163583.45</f>
        <v>6258485.8900000006</v>
      </c>
      <c r="T118" s="28">
        <v>569205.14</v>
      </c>
      <c r="U118" s="28">
        <v>882461.08</v>
      </c>
      <c r="V118" s="28">
        <v>860628.62</v>
      </c>
      <c r="W118" s="28">
        <v>1159998.98</v>
      </c>
      <c r="X118" s="28">
        <v>1639991.11</v>
      </c>
      <c r="Y118" s="28">
        <f>1998691.86+1119139.05</f>
        <v>3117830.91</v>
      </c>
    </row>
    <row r="119" spans="1:25" ht="16.5" thickBot="1" x14ac:dyDescent="0.3">
      <c r="A119" s="18" t="s">
        <v>235</v>
      </c>
      <c r="B119" s="19" t="s">
        <v>236</v>
      </c>
      <c r="C119" s="56">
        <v>95230</v>
      </c>
      <c r="D119" s="21"/>
      <c r="E119" s="58">
        <f t="shared" si="7"/>
        <v>95230</v>
      </c>
      <c r="F119" s="22">
        <f t="shared" si="8"/>
        <v>43165.22</v>
      </c>
      <c r="G119" s="22">
        <f t="shared" si="9"/>
        <v>52064.78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>
        <v>37997.47</v>
      </c>
      <c r="V119" s="28">
        <v>5167.75</v>
      </c>
      <c r="W119" s="28"/>
      <c r="X119" s="28"/>
      <c r="Y119" s="28"/>
    </row>
    <row r="120" spans="1:25" ht="16.5" thickBot="1" x14ac:dyDescent="0.3">
      <c r="A120" s="18" t="s">
        <v>237</v>
      </c>
      <c r="B120" s="19" t="s">
        <v>238</v>
      </c>
      <c r="C120" s="56">
        <v>2923098</v>
      </c>
      <c r="D120" s="21"/>
      <c r="E120" s="58">
        <f t="shared" si="7"/>
        <v>2923098</v>
      </c>
      <c r="F120" s="22">
        <f t="shared" si="8"/>
        <v>0</v>
      </c>
      <c r="G120" s="22">
        <f t="shared" si="9"/>
        <v>2923098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6.5" thickBot="1" x14ac:dyDescent="0.3">
      <c r="A121" s="18" t="s">
        <v>239</v>
      </c>
      <c r="B121" s="19" t="s">
        <v>240</v>
      </c>
      <c r="C121" s="56">
        <v>9751290</v>
      </c>
      <c r="D121" s="21"/>
      <c r="E121" s="58">
        <f t="shared" si="7"/>
        <v>9751290</v>
      </c>
      <c r="F121" s="22">
        <f t="shared" si="8"/>
        <v>0</v>
      </c>
      <c r="G121" s="22">
        <f t="shared" si="9"/>
        <v>9751290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6.5" thickBot="1" x14ac:dyDescent="0.3">
      <c r="A122" s="18" t="s">
        <v>241</v>
      </c>
      <c r="B122" s="19" t="s">
        <v>242</v>
      </c>
      <c r="C122" s="56">
        <v>589058</v>
      </c>
      <c r="D122" s="21"/>
      <c r="E122" s="58">
        <f t="shared" si="7"/>
        <v>589058</v>
      </c>
      <c r="F122" s="22">
        <f t="shared" si="8"/>
        <v>0</v>
      </c>
      <c r="G122" s="22">
        <f t="shared" si="9"/>
        <v>589058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6.5" thickBot="1" x14ac:dyDescent="0.3">
      <c r="A123" s="18" t="s">
        <v>243</v>
      </c>
      <c r="B123" s="19" t="s">
        <v>244</v>
      </c>
      <c r="C123" s="56">
        <v>897433</v>
      </c>
      <c r="D123" s="21"/>
      <c r="E123" s="58">
        <f t="shared" si="7"/>
        <v>897433</v>
      </c>
      <c r="F123" s="22">
        <f t="shared" si="8"/>
        <v>817114.64</v>
      </c>
      <c r="G123" s="22">
        <f t="shared" si="9"/>
        <v>80318.359999999986</v>
      </c>
      <c r="H123" s="28"/>
      <c r="I123" s="28"/>
      <c r="J123" s="28"/>
      <c r="K123" s="28">
        <v>245170.95</v>
      </c>
      <c r="L123" s="28"/>
      <c r="M123" s="28">
        <v>66085.64</v>
      </c>
      <c r="N123" s="28">
        <v>286609.40999999997</v>
      </c>
      <c r="O123" s="28">
        <v>12979.19</v>
      </c>
      <c r="P123" s="28">
        <f>29344.72+17873.21</f>
        <v>47217.93</v>
      </c>
      <c r="Q123" s="28">
        <v>82252.94</v>
      </c>
      <c r="R123" s="28">
        <v>8175.27</v>
      </c>
      <c r="S123" s="28">
        <v>8083.91</v>
      </c>
      <c r="T123" s="28">
        <v>10638.36</v>
      </c>
      <c r="U123" s="28">
        <v>9058.58</v>
      </c>
      <c r="V123" s="28">
        <v>17067.89</v>
      </c>
      <c r="W123" s="28">
        <v>23774.57</v>
      </c>
      <c r="X123" s="28"/>
      <c r="Y123" s="28"/>
    </row>
    <row r="124" spans="1:25" ht="16.5" thickBot="1" x14ac:dyDescent="0.3">
      <c r="A124" s="18" t="s">
        <v>245</v>
      </c>
      <c r="B124" s="19" t="s">
        <v>246</v>
      </c>
      <c r="C124" s="56">
        <v>9220195</v>
      </c>
      <c r="D124" s="21"/>
      <c r="E124" s="58">
        <f t="shared" si="7"/>
        <v>9220195</v>
      </c>
      <c r="F124" s="22">
        <f t="shared" si="8"/>
        <v>959717.72</v>
      </c>
      <c r="G124" s="22">
        <f t="shared" si="9"/>
        <v>8260477.2800000003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>
        <v>209401.86</v>
      </c>
      <c r="U124" s="28">
        <v>33761.78</v>
      </c>
      <c r="V124" s="28">
        <v>67488.960000000006</v>
      </c>
      <c r="W124" s="28">
        <v>224156.06</v>
      </c>
      <c r="X124" s="28"/>
      <c r="Y124" s="28">
        <f>107825.89+317083.17</f>
        <v>424909.06</v>
      </c>
    </row>
    <row r="125" spans="1:25" ht="16.5" thickBot="1" x14ac:dyDescent="0.3">
      <c r="A125" s="18" t="s">
        <v>247</v>
      </c>
      <c r="B125" s="19" t="s">
        <v>248</v>
      </c>
      <c r="C125" s="56">
        <v>423653</v>
      </c>
      <c r="D125" s="21"/>
      <c r="E125" s="58">
        <f t="shared" si="7"/>
        <v>423653</v>
      </c>
      <c r="F125" s="22">
        <f t="shared" si="8"/>
        <v>26950.66</v>
      </c>
      <c r="G125" s="22">
        <f t="shared" si="9"/>
        <v>396702.34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>
        <v>26950.66</v>
      </c>
      <c r="X125" s="28"/>
      <c r="Y125" s="28"/>
    </row>
    <row r="126" spans="1:25" ht="16.5" thickBot="1" x14ac:dyDescent="0.3">
      <c r="A126" s="18" t="s">
        <v>249</v>
      </c>
      <c r="B126" s="19" t="s">
        <v>250</v>
      </c>
      <c r="C126" s="56">
        <v>1606407</v>
      </c>
      <c r="D126" s="21"/>
      <c r="E126" s="58">
        <f t="shared" si="7"/>
        <v>1606407</v>
      </c>
      <c r="F126" s="22">
        <f t="shared" si="8"/>
        <v>482745.84</v>
      </c>
      <c r="G126" s="22">
        <f t="shared" si="9"/>
        <v>1123661.1599999999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>
        <v>276216.84000000003</v>
      </c>
      <c r="T126" s="28">
        <v>60762.51</v>
      </c>
      <c r="U126" s="28">
        <v>30444.54</v>
      </c>
      <c r="V126" s="28"/>
      <c r="W126" s="28">
        <v>58994.65</v>
      </c>
      <c r="X126" s="28">
        <v>56327.3</v>
      </c>
      <c r="Y126" s="28"/>
    </row>
    <row r="127" spans="1:25" ht="16.5" thickBot="1" x14ac:dyDescent="0.3">
      <c r="A127" s="18" t="s">
        <v>251</v>
      </c>
      <c r="B127" s="19" t="s">
        <v>252</v>
      </c>
      <c r="C127" s="56">
        <v>3682753</v>
      </c>
      <c r="D127" s="21"/>
      <c r="E127" s="58">
        <f t="shared" si="7"/>
        <v>3682753</v>
      </c>
      <c r="F127" s="22">
        <f t="shared" si="8"/>
        <v>485195.77</v>
      </c>
      <c r="G127" s="22">
        <f t="shared" si="9"/>
        <v>3197557.23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>
        <v>404159.36</v>
      </c>
      <c r="W127" s="28"/>
      <c r="X127" s="28"/>
      <c r="Y127" s="28">
        <v>81036.41</v>
      </c>
    </row>
    <row r="128" spans="1:25" ht="16.5" thickBot="1" x14ac:dyDescent="0.3">
      <c r="A128" s="18" t="s">
        <v>253</v>
      </c>
      <c r="B128" s="19" t="s">
        <v>254</v>
      </c>
      <c r="C128" s="56">
        <v>248833</v>
      </c>
      <c r="D128" s="21"/>
      <c r="E128" s="58">
        <f t="shared" si="7"/>
        <v>248833</v>
      </c>
      <c r="F128" s="22">
        <f t="shared" si="8"/>
        <v>130974.55</v>
      </c>
      <c r="G128" s="22">
        <f t="shared" si="9"/>
        <v>117858.45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>
        <v>130974.55</v>
      </c>
      <c r="W128" s="28"/>
      <c r="X128" s="28"/>
      <c r="Y128" s="28"/>
    </row>
    <row r="129" spans="1:25" ht="16.5" thickBot="1" x14ac:dyDescent="0.3">
      <c r="A129" s="18" t="s">
        <v>255</v>
      </c>
      <c r="B129" s="19" t="s">
        <v>256</v>
      </c>
      <c r="C129" s="56">
        <v>803915</v>
      </c>
      <c r="D129" s="21"/>
      <c r="E129" s="58">
        <f t="shared" si="7"/>
        <v>803915</v>
      </c>
      <c r="F129" s="22">
        <f t="shared" si="8"/>
        <v>292068.57</v>
      </c>
      <c r="G129" s="22">
        <f t="shared" si="9"/>
        <v>511846.43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>
        <v>117087.36</v>
      </c>
      <c r="R129" s="28">
        <v>42560.13</v>
      </c>
      <c r="S129" s="28"/>
      <c r="T129" s="28"/>
      <c r="U129" s="28"/>
      <c r="V129" s="28">
        <f>21941.96+50203.44</f>
        <v>72145.399999999994</v>
      </c>
      <c r="W129" s="28">
        <v>20016.54</v>
      </c>
      <c r="X129" s="28">
        <v>40259.14</v>
      </c>
      <c r="Y129" s="28"/>
    </row>
    <row r="130" spans="1:25" ht="16.5" thickBot="1" x14ac:dyDescent="0.3">
      <c r="A130" s="18" t="s">
        <v>257</v>
      </c>
      <c r="B130" s="19" t="s">
        <v>258</v>
      </c>
      <c r="C130" s="56">
        <v>4476628</v>
      </c>
      <c r="D130" s="21"/>
      <c r="E130" s="58">
        <f t="shared" si="7"/>
        <v>4476628</v>
      </c>
      <c r="F130" s="22">
        <f t="shared" si="8"/>
        <v>2060441.1600000001</v>
      </c>
      <c r="G130" s="22">
        <f t="shared" si="9"/>
        <v>2416186.84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>
        <v>378603.76</v>
      </c>
      <c r="T130" s="28"/>
      <c r="U130" s="28"/>
      <c r="V130" s="28">
        <v>637804.37</v>
      </c>
      <c r="W130" s="28">
        <v>500353.35</v>
      </c>
      <c r="X130" s="28"/>
      <c r="Y130" s="28">
        <v>543679.68000000005</v>
      </c>
    </row>
    <row r="131" spans="1:25" ht="16.5" thickBot="1" x14ac:dyDescent="0.3">
      <c r="A131" s="18" t="s">
        <v>259</v>
      </c>
      <c r="B131" s="19" t="s">
        <v>260</v>
      </c>
      <c r="C131" s="56">
        <v>2658996</v>
      </c>
      <c r="D131" s="21"/>
      <c r="E131" s="58">
        <f t="shared" si="7"/>
        <v>2658996</v>
      </c>
      <c r="F131" s="22">
        <f t="shared" si="8"/>
        <v>1185534.82</v>
      </c>
      <c r="G131" s="22">
        <f t="shared" si="9"/>
        <v>1473461.18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>
        <f>27240.12+1004100</f>
        <v>1031340.12</v>
      </c>
      <c r="T131" s="28"/>
      <c r="U131" s="28"/>
      <c r="V131" s="28">
        <v>154194.70000000001</v>
      </c>
      <c r="W131" s="28"/>
      <c r="X131" s="28"/>
      <c r="Y131" s="28"/>
    </row>
    <row r="132" spans="1:25" ht="16.5" thickBot="1" x14ac:dyDescent="0.3">
      <c r="A132" s="18" t="s">
        <v>261</v>
      </c>
      <c r="B132" s="19" t="s">
        <v>262</v>
      </c>
      <c r="C132" s="56">
        <v>527779</v>
      </c>
      <c r="D132" s="21"/>
      <c r="E132" s="58">
        <f t="shared" si="7"/>
        <v>527779</v>
      </c>
      <c r="F132" s="22">
        <f t="shared" si="8"/>
        <v>167564.20000000001</v>
      </c>
      <c r="G132" s="22">
        <f t="shared" si="9"/>
        <v>360214.8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>
        <v>167564.20000000001</v>
      </c>
      <c r="W132" s="28"/>
      <c r="X132" s="28"/>
      <c r="Y132" s="28"/>
    </row>
    <row r="133" spans="1:25" ht="16.5" thickBot="1" x14ac:dyDescent="0.3">
      <c r="A133" s="18" t="s">
        <v>263</v>
      </c>
      <c r="B133" s="19" t="s">
        <v>264</v>
      </c>
      <c r="C133" s="56">
        <v>706336</v>
      </c>
      <c r="D133" s="21"/>
      <c r="E133" s="58">
        <f t="shared" si="7"/>
        <v>706336</v>
      </c>
      <c r="F133" s="22">
        <f t="shared" si="8"/>
        <v>0</v>
      </c>
      <c r="G133" s="22">
        <f t="shared" si="9"/>
        <v>706336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6.5" thickBot="1" x14ac:dyDescent="0.3">
      <c r="A134" s="18" t="s">
        <v>265</v>
      </c>
      <c r="B134" s="19" t="s">
        <v>266</v>
      </c>
      <c r="C134" s="56">
        <v>191471</v>
      </c>
      <c r="D134" s="21"/>
      <c r="E134" s="58">
        <f t="shared" si="7"/>
        <v>191471</v>
      </c>
      <c r="F134" s="22">
        <f t="shared" si="8"/>
        <v>167960.33</v>
      </c>
      <c r="G134" s="22">
        <f t="shared" si="9"/>
        <v>23510.670000000013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>
        <v>167960.33</v>
      </c>
      <c r="W134" s="28"/>
      <c r="X134" s="28"/>
      <c r="Y134" s="28"/>
    </row>
    <row r="135" spans="1:25" ht="16.5" thickBot="1" x14ac:dyDescent="0.3">
      <c r="A135" s="18" t="s">
        <v>267</v>
      </c>
      <c r="B135" s="19" t="s">
        <v>268</v>
      </c>
      <c r="C135" s="56">
        <v>499251</v>
      </c>
      <c r="D135" s="21"/>
      <c r="E135" s="58">
        <f t="shared" si="7"/>
        <v>499251</v>
      </c>
      <c r="F135" s="22">
        <f t="shared" si="8"/>
        <v>48885.56</v>
      </c>
      <c r="G135" s="22">
        <f t="shared" si="9"/>
        <v>450365.44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>
        <v>48885.56</v>
      </c>
      <c r="W135" s="28"/>
      <c r="X135" s="28"/>
      <c r="Y135" s="28"/>
    </row>
    <row r="136" spans="1:25" ht="16.5" thickBot="1" x14ac:dyDescent="0.3">
      <c r="A136" s="18" t="s">
        <v>269</v>
      </c>
      <c r="B136" s="19" t="s">
        <v>270</v>
      </c>
      <c r="C136" s="56">
        <v>143305</v>
      </c>
      <c r="D136" s="21"/>
      <c r="E136" s="58">
        <f t="shared" si="7"/>
        <v>143305</v>
      </c>
      <c r="F136" s="22">
        <f t="shared" si="8"/>
        <v>82960.740000000005</v>
      </c>
      <c r="G136" s="22">
        <f t="shared" si="9"/>
        <v>60344.259999999995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>
        <v>21438.02</v>
      </c>
      <c r="W136" s="28">
        <v>57594.15</v>
      </c>
      <c r="X136" s="28">
        <v>3928.57</v>
      </c>
      <c r="Y136" s="28"/>
    </row>
    <row r="137" spans="1:25" ht="16.5" thickBot="1" x14ac:dyDescent="0.3">
      <c r="A137" s="18" t="s">
        <v>271</v>
      </c>
      <c r="B137" s="19" t="s">
        <v>272</v>
      </c>
      <c r="C137" s="56">
        <v>252500</v>
      </c>
      <c r="D137" s="21"/>
      <c r="E137" s="58">
        <f t="shared" si="7"/>
        <v>252500</v>
      </c>
      <c r="F137" s="22">
        <f t="shared" si="8"/>
        <v>241799.62</v>
      </c>
      <c r="G137" s="22">
        <f t="shared" si="9"/>
        <v>10700.380000000005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>
        <v>120899.81</v>
      </c>
      <c r="W137" s="28">
        <v>120899.81</v>
      </c>
      <c r="X137" s="28"/>
      <c r="Y137" s="28"/>
    </row>
    <row r="138" spans="1:25" ht="16.5" thickBot="1" x14ac:dyDescent="0.3">
      <c r="A138" s="18" t="s">
        <v>273</v>
      </c>
      <c r="B138" s="19" t="s">
        <v>274</v>
      </c>
      <c r="C138" s="56">
        <v>870360</v>
      </c>
      <c r="D138" s="21"/>
      <c r="E138" s="58">
        <f t="shared" si="7"/>
        <v>870360</v>
      </c>
      <c r="F138" s="22">
        <f t="shared" si="8"/>
        <v>157103.12</v>
      </c>
      <c r="G138" s="22">
        <f t="shared" si="9"/>
        <v>713256.88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>
        <v>123456.3</v>
      </c>
      <c r="X138" s="28">
        <v>33646.82</v>
      </c>
      <c r="Y138" s="28"/>
    </row>
    <row r="139" spans="1:25" ht="16.5" thickBot="1" x14ac:dyDescent="0.3">
      <c r="A139" s="18" t="s">
        <v>275</v>
      </c>
      <c r="B139" s="19" t="s">
        <v>276</v>
      </c>
      <c r="C139" s="56">
        <v>810980</v>
      </c>
      <c r="D139" s="21"/>
      <c r="E139" s="58">
        <f t="shared" si="7"/>
        <v>810980</v>
      </c>
      <c r="F139" s="22">
        <f t="shared" ref="F139:F170" si="10">SUM(H139:AB139)</f>
        <v>25726</v>
      </c>
      <c r="G139" s="22">
        <f t="shared" ref="G139:G170" si="11">E139-(F139+AC139+AD139)</f>
        <v>785254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>
        <v>25726</v>
      </c>
      <c r="W139" s="28"/>
      <c r="X139" s="28"/>
      <c r="Y139" s="28"/>
    </row>
    <row r="140" spans="1:25" ht="16.5" thickBot="1" x14ac:dyDescent="0.3">
      <c r="A140" s="18" t="s">
        <v>277</v>
      </c>
      <c r="B140" s="19" t="s">
        <v>278</v>
      </c>
      <c r="C140" s="56">
        <v>643242</v>
      </c>
      <c r="D140" s="21"/>
      <c r="E140" s="58">
        <f t="shared" ref="E140:E190" si="12">C140</f>
        <v>643242</v>
      </c>
      <c r="F140" s="22">
        <f t="shared" si="10"/>
        <v>414345.28</v>
      </c>
      <c r="G140" s="22">
        <f t="shared" si="11"/>
        <v>228896.71999999997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>
        <v>182634</v>
      </c>
      <c r="S140" s="28"/>
      <c r="T140" s="28"/>
      <c r="U140" s="28">
        <f>38041.28+133902</f>
        <v>171943.28</v>
      </c>
      <c r="V140" s="28"/>
      <c r="W140" s="28">
        <v>59768</v>
      </c>
      <c r="X140" s="28"/>
      <c r="Y140" s="28"/>
    </row>
    <row r="141" spans="1:25" ht="16.5" thickBot="1" x14ac:dyDescent="0.3">
      <c r="A141" s="18" t="s">
        <v>279</v>
      </c>
      <c r="B141" s="19" t="s">
        <v>280</v>
      </c>
      <c r="C141" s="56">
        <v>334994</v>
      </c>
      <c r="D141" s="21"/>
      <c r="E141" s="58">
        <f t="shared" si="12"/>
        <v>334994</v>
      </c>
      <c r="F141" s="22">
        <f t="shared" si="10"/>
        <v>0</v>
      </c>
      <c r="G141" s="22">
        <f t="shared" si="11"/>
        <v>334994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6.5" thickBot="1" x14ac:dyDescent="0.3">
      <c r="A142" s="18" t="s">
        <v>281</v>
      </c>
      <c r="B142" s="19" t="s">
        <v>282</v>
      </c>
      <c r="C142" s="56">
        <v>252235</v>
      </c>
      <c r="D142" s="21"/>
      <c r="E142" s="58">
        <f t="shared" si="12"/>
        <v>252235</v>
      </c>
      <c r="F142" s="22">
        <f t="shared" si="10"/>
        <v>0</v>
      </c>
      <c r="G142" s="22">
        <f t="shared" si="11"/>
        <v>252235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 x14ac:dyDescent="0.3">
      <c r="A143" s="18" t="s">
        <v>283</v>
      </c>
      <c r="B143" s="19" t="s">
        <v>284</v>
      </c>
      <c r="C143" s="56">
        <v>528334</v>
      </c>
      <c r="D143" s="21"/>
      <c r="E143" s="58">
        <f t="shared" si="12"/>
        <v>528334</v>
      </c>
      <c r="F143" s="22">
        <f t="shared" si="10"/>
        <v>0</v>
      </c>
      <c r="G143" s="22">
        <f t="shared" si="11"/>
        <v>528334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6.5" thickBot="1" x14ac:dyDescent="0.3">
      <c r="A144" s="18" t="s">
        <v>285</v>
      </c>
      <c r="B144" s="19" t="s">
        <v>286</v>
      </c>
      <c r="C144" s="56">
        <v>4010967</v>
      </c>
      <c r="D144" s="21"/>
      <c r="E144" s="58">
        <f t="shared" si="12"/>
        <v>4010967</v>
      </c>
      <c r="F144" s="22">
        <f t="shared" si="10"/>
        <v>268728</v>
      </c>
      <c r="G144" s="22">
        <f t="shared" si="11"/>
        <v>3742239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>
        <v>267232</v>
      </c>
      <c r="W144" s="28"/>
      <c r="X144" s="28">
        <v>1496</v>
      </c>
      <c r="Y144" s="28"/>
    </row>
    <row r="145" spans="1:25" ht="16.5" thickBot="1" x14ac:dyDescent="0.3">
      <c r="A145" s="18" t="s">
        <v>287</v>
      </c>
      <c r="B145" s="19" t="s">
        <v>288</v>
      </c>
      <c r="C145" s="56">
        <v>634823</v>
      </c>
      <c r="D145" s="21"/>
      <c r="E145" s="58">
        <f t="shared" si="12"/>
        <v>634823</v>
      </c>
      <c r="F145" s="22">
        <f t="shared" si="10"/>
        <v>127986.41</v>
      </c>
      <c r="G145" s="22">
        <f t="shared" si="11"/>
        <v>506836.58999999997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>
        <v>127986.41</v>
      </c>
      <c r="W145" s="28"/>
      <c r="X145" s="28"/>
      <c r="Y145" s="28"/>
    </row>
    <row r="146" spans="1:25" ht="16.5" thickBot="1" x14ac:dyDescent="0.3">
      <c r="A146" s="18" t="s">
        <v>289</v>
      </c>
      <c r="B146" s="19" t="s">
        <v>290</v>
      </c>
      <c r="C146" s="56">
        <v>278208</v>
      </c>
      <c r="D146" s="21"/>
      <c r="E146" s="58">
        <f t="shared" si="12"/>
        <v>278208</v>
      </c>
      <c r="F146" s="22">
        <f t="shared" si="10"/>
        <v>125750.82</v>
      </c>
      <c r="G146" s="22">
        <f t="shared" si="11"/>
        <v>152457.18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>
        <v>60213.279999999999</v>
      </c>
      <c r="S146" s="28"/>
      <c r="T146" s="28"/>
      <c r="U146" s="28">
        <v>61385.58</v>
      </c>
      <c r="V146" s="28">
        <f>2351.96+1800</f>
        <v>4151.96</v>
      </c>
      <c r="W146" s="28"/>
      <c r="X146" s="28"/>
      <c r="Y146" s="28"/>
    </row>
    <row r="147" spans="1:25" ht="16.5" thickBot="1" x14ac:dyDescent="0.3">
      <c r="A147" s="18" t="s">
        <v>291</v>
      </c>
      <c r="B147" s="19" t="s">
        <v>292</v>
      </c>
      <c r="C147" s="56">
        <v>42995220</v>
      </c>
      <c r="D147" s="21"/>
      <c r="E147" s="58">
        <f t="shared" si="12"/>
        <v>42995220</v>
      </c>
      <c r="F147" s="22">
        <f t="shared" si="10"/>
        <v>1365306.55</v>
      </c>
      <c r="G147" s="22">
        <f t="shared" si="11"/>
        <v>41629913.450000003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>
        <v>36900</v>
      </c>
      <c r="U147" s="28">
        <v>59331.55</v>
      </c>
      <c r="V147" s="28">
        <v>206754.22</v>
      </c>
      <c r="W147" s="28"/>
      <c r="X147" s="28">
        <v>1062320.78</v>
      </c>
      <c r="Y147" s="28"/>
    </row>
    <row r="148" spans="1:25" ht="16.5" thickBot="1" x14ac:dyDescent="0.3">
      <c r="A148" s="18" t="s">
        <v>293</v>
      </c>
      <c r="B148" s="19" t="s">
        <v>294</v>
      </c>
      <c r="C148" s="56">
        <v>7734491</v>
      </c>
      <c r="D148" s="21"/>
      <c r="E148" s="58">
        <f t="shared" si="12"/>
        <v>7734491</v>
      </c>
      <c r="F148" s="22">
        <f t="shared" si="10"/>
        <v>4355756.58</v>
      </c>
      <c r="G148" s="22">
        <f t="shared" si="11"/>
        <v>3378734.42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>
        <v>3592074.43</v>
      </c>
      <c r="W148" s="28">
        <v>249333.1</v>
      </c>
      <c r="X148" s="28">
        <v>514349.05</v>
      </c>
      <c r="Y148" s="28"/>
    </row>
    <row r="149" spans="1:25" ht="16.5" thickBot="1" x14ac:dyDescent="0.3">
      <c r="A149" s="18" t="s">
        <v>295</v>
      </c>
      <c r="B149" s="19" t="s">
        <v>296</v>
      </c>
      <c r="C149" s="56">
        <v>701209</v>
      </c>
      <c r="D149" s="21"/>
      <c r="E149" s="58">
        <f t="shared" si="12"/>
        <v>701209</v>
      </c>
      <c r="F149" s="22">
        <f t="shared" si="10"/>
        <v>348752.13</v>
      </c>
      <c r="G149" s="22">
        <f t="shared" si="11"/>
        <v>352456.87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>
        <v>208510.33</v>
      </c>
      <c r="W149" s="28"/>
      <c r="X149" s="28">
        <v>140241.79999999999</v>
      </c>
      <c r="Y149" s="28"/>
    </row>
    <row r="150" spans="1:25" ht="16.5" thickBot="1" x14ac:dyDescent="0.3">
      <c r="A150" s="18" t="s">
        <v>297</v>
      </c>
      <c r="B150" s="19" t="s">
        <v>298</v>
      </c>
      <c r="C150" s="56">
        <v>291560</v>
      </c>
      <c r="D150" s="21"/>
      <c r="E150" s="58">
        <f t="shared" si="12"/>
        <v>291560</v>
      </c>
      <c r="F150" s="22">
        <f t="shared" si="10"/>
        <v>111906.13</v>
      </c>
      <c r="G150" s="22">
        <f t="shared" si="11"/>
        <v>179653.87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>
        <v>111906.13</v>
      </c>
      <c r="W150" s="28"/>
      <c r="X150" s="28"/>
      <c r="Y150" s="28"/>
    </row>
    <row r="151" spans="1:25" ht="16.5" thickBot="1" x14ac:dyDescent="0.3">
      <c r="A151" s="18" t="s">
        <v>299</v>
      </c>
      <c r="B151" s="19" t="s">
        <v>300</v>
      </c>
      <c r="C151" s="56">
        <v>1469300</v>
      </c>
      <c r="D151" s="21"/>
      <c r="E151" s="58">
        <f t="shared" si="12"/>
        <v>1469300</v>
      </c>
      <c r="F151" s="22">
        <f t="shared" si="10"/>
        <v>541842.55000000005</v>
      </c>
      <c r="G151" s="22">
        <f t="shared" si="11"/>
        <v>927457.45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>
        <f>391092.09+150750.46</f>
        <v>541842.55000000005</v>
      </c>
      <c r="W151" s="28"/>
      <c r="X151" s="28"/>
      <c r="Y151" s="28"/>
    </row>
    <row r="152" spans="1:25" ht="16.5" thickBot="1" x14ac:dyDescent="0.3">
      <c r="A152" s="18" t="s">
        <v>301</v>
      </c>
      <c r="B152" s="19" t="s">
        <v>302</v>
      </c>
      <c r="C152" s="56">
        <v>2670145</v>
      </c>
      <c r="D152" s="21"/>
      <c r="E152" s="58">
        <f t="shared" si="12"/>
        <v>2670145</v>
      </c>
      <c r="F152" s="22">
        <f t="shared" si="10"/>
        <v>1047945</v>
      </c>
      <c r="G152" s="22">
        <f t="shared" si="11"/>
        <v>1622200</v>
      </c>
      <c r="H152" s="28"/>
      <c r="I152" s="28"/>
      <c r="J152" s="28"/>
      <c r="K152" s="28"/>
      <c r="L152" s="28"/>
      <c r="M152" s="28"/>
      <c r="N152" s="28">
        <v>349579</v>
      </c>
      <c r="O152" s="28">
        <v>41624</v>
      </c>
      <c r="P152" s="28">
        <v>41611</v>
      </c>
      <c r="Q152" s="28">
        <v>43668</v>
      </c>
      <c r="R152" s="28">
        <v>40306</v>
      </c>
      <c r="S152" s="28">
        <v>44844</v>
      </c>
      <c r="T152" s="28">
        <v>41649</v>
      </c>
      <c r="U152" s="28">
        <v>301483</v>
      </c>
      <c r="V152" s="28">
        <v>35520</v>
      </c>
      <c r="W152" s="28">
        <v>35803</v>
      </c>
      <c r="X152" s="28">
        <v>35934</v>
      </c>
      <c r="Y152" s="28">
        <v>35924</v>
      </c>
    </row>
    <row r="153" spans="1:25" ht="16.5" thickBot="1" x14ac:dyDescent="0.3">
      <c r="A153" s="18" t="s">
        <v>303</v>
      </c>
      <c r="B153" s="19" t="s">
        <v>304</v>
      </c>
      <c r="C153" s="56">
        <v>308004</v>
      </c>
      <c r="D153" s="21"/>
      <c r="E153" s="58">
        <f t="shared" si="12"/>
        <v>308004</v>
      </c>
      <c r="F153" s="22">
        <f t="shared" si="10"/>
        <v>99313.069999999992</v>
      </c>
      <c r="G153" s="22">
        <f t="shared" si="11"/>
        <v>208690.93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>
        <f>95200.93+4112.14</f>
        <v>99313.069999999992</v>
      </c>
      <c r="W153" s="28"/>
      <c r="X153" s="28"/>
      <c r="Y153" s="28"/>
    </row>
    <row r="154" spans="1:25" ht="16.5" thickBot="1" x14ac:dyDescent="0.3">
      <c r="A154" s="18" t="s">
        <v>305</v>
      </c>
      <c r="B154" s="19" t="s">
        <v>306</v>
      </c>
      <c r="C154" s="56">
        <v>0</v>
      </c>
      <c r="D154" s="21"/>
      <c r="E154" s="58">
        <f t="shared" si="12"/>
        <v>0</v>
      </c>
      <c r="F154" s="22">
        <f t="shared" si="10"/>
        <v>0</v>
      </c>
      <c r="G154" s="22">
        <f t="shared" si="11"/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6.5" thickBot="1" x14ac:dyDescent="0.3">
      <c r="A155" s="18" t="s">
        <v>307</v>
      </c>
      <c r="B155" s="19" t="s">
        <v>308</v>
      </c>
      <c r="C155" s="56">
        <v>1376632</v>
      </c>
      <c r="D155" s="21"/>
      <c r="E155" s="58">
        <f t="shared" si="12"/>
        <v>1376632</v>
      </c>
      <c r="F155" s="22">
        <f t="shared" si="10"/>
        <v>0</v>
      </c>
      <c r="G155" s="22">
        <f t="shared" si="11"/>
        <v>1376632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6.5" thickBot="1" x14ac:dyDescent="0.3">
      <c r="A156" s="18" t="s">
        <v>309</v>
      </c>
      <c r="B156" s="19" t="s">
        <v>310</v>
      </c>
      <c r="C156" s="56">
        <v>783951</v>
      </c>
      <c r="D156" s="21"/>
      <c r="E156" s="58">
        <f t="shared" si="12"/>
        <v>783951</v>
      </c>
      <c r="F156" s="22">
        <f t="shared" si="10"/>
        <v>249594.01</v>
      </c>
      <c r="G156" s="22">
        <f t="shared" si="11"/>
        <v>534356.99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>
        <v>249594.01</v>
      </c>
      <c r="W156" s="28"/>
      <c r="X156" s="28"/>
      <c r="Y156" s="28"/>
    </row>
    <row r="157" spans="1:25" ht="16.5" thickBot="1" x14ac:dyDescent="0.3">
      <c r="A157" s="18" t="s">
        <v>311</v>
      </c>
      <c r="B157" s="19" t="s">
        <v>312</v>
      </c>
      <c r="C157" s="56">
        <v>613366</v>
      </c>
      <c r="D157" s="21"/>
      <c r="E157" s="58">
        <f t="shared" si="12"/>
        <v>613366</v>
      </c>
      <c r="F157" s="22">
        <f t="shared" si="10"/>
        <v>0</v>
      </c>
      <c r="G157" s="22">
        <f t="shared" si="11"/>
        <v>613366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6.5" thickBot="1" x14ac:dyDescent="0.3">
      <c r="A158" s="18" t="s">
        <v>313</v>
      </c>
      <c r="B158" s="19" t="s">
        <v>314</v>
      </c>
      <c r="C158" s="56">
        <v>1076548</v>
      </c>
      <c r="D158" s="21"/>
      <c r="E158" s="58">
        <f t="shared" si="12"/>
        <v>1076548</v>
      </c>
      <c r="F158" s="22">
        <f t="shared" si="10"/>
        <v>168782.08000000002</v>
      </c>
      <c r="G158" s="22">
        <f t="shared" si="11"/>
        <v>907765.91999999993</v>
      </c>
      <c r="H158" s="28"/>
      <c r="I158" s="28"/>
      <c r="J158" s="28"/>
      <c r="K158" s="28"/>
      <c r="L158" s="28"/>
      <c r="M158" s="28"/>
      <c r="N158" s="28">
        <f>12103.28+9200.2</f>
        <v>21303.480000000003</v>
      </c>
      <c r="O158" s="28">
        <v>19030.8</v>
      </c>
      <c r="P158" s="28">
        <v>6513.54</v>
      </c>
      <c r="Q158" s="28">
        <v>4589.6000000000004</v>
      </c>
      <c r="R158" s="28">
        <v>1263.8699999999999</v>
      </c>
      <c r="S158" s="28">
        <v>7940.46</v>
      </c>
      <c r="T158" s="28">
        <v>9472.6200000000008</v>
      </c>
      <c r="U158" s="28">
        <v>71065.83</v>
      </c>
      <c r="V158" s="28">
        <v>19002.509999999998</v>
      </c>
      <c r="W158" s="28">
        <v>2574.75</v>
      </c>
      <c r="X158" s="28">
        <v>6024.62</v>
      </c>
      <c r="Y158" s="28"/>
    </row>
    <row r="159" spans="1:25" ht="16.5" thickBot="1" x14ac:dyDescent="0.3">
      <c r="A159" s="18" t="s">
        <v>315</v>
      </c>
      <c r="B159" s="19" t="s">
        <v>316</v>
      </c>
      <c r="C159" s="56">
        <v>2763795</v>
      </c>
      <c r="D159" s="21"/>
      <c r="E159" s="58">
        <f t="shared" si="12"/>
        <v>2763795</v>
      </c>
      <c r="F159" s="22">
        <f t="shared" si="10"/>
        <v>2102470.04</v>
      </c>
      <c r="G159" s="22">
        <f t="shared" si="11"/>
        <v>661324.96</v>
      </c>
      <c r="H159" s="28"/>
      <c r="I159" s="28"/>
      <c r="J159" s="28"/>
      <c r="K159" s="28">
        <v>553188.23</v>
      </c>
      <c r="L159" s="28"/>
      <c r="M159" s="28">
        <v>57288.9</v>
      </c>
      <c r="N159" s="28"/>
      <c r="O159" s="28">
        <v>268660.73</v>
      </c>
      <c r="P159" s="28"/>
      <c r="Q159" s="28"/>
      <c r="R159" s="28">
        <v>591081.19999999995</v>
      </c>
      <c r="S159" s="28"/>
      <c r="T159" s="28">
        <v>281380.51</v>
      </c>
      <c r="U159" s="28"/>
      <c r="V159" s="28">
        <v>27235.34</v>
      </c>
      <c r="W159" s="28"/>
      <c r="X159" s="28"/>
      <c r="Y159" s="28">
        <v>323635.13</v>
      </c>
    </row>
    <row r="160" spans="1:25" ht="16.5" thickBot="1" x14ac:dyDescent="0.3">
      <c r="A160" s="18" t="s">
        <v>317</v>
      </c>
      <c r="B160" s="19" t="s">
        <v>318</v>
      </c>
      <c r="C160" s="56">
        <v>151469</v>
      </c>
      <c r="D160" s="21"/>
      <c r="E160" s="58">
        <f t="shared" si="12"/>
        <v>151469</v>
      </c>
      <c r="F160" s="22">
        <f t="shared" si="10"/>
        <v>118969</v>
      </c>
      <c r="G160" s="22">
        <f t="shared" si="11"/>
        <v>32500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>
        <v>40414.050000000003</v>
      </c>
      <c r="U160" s="28"/>
      <c r="V160" s="28">
        <v>20291.78</v>
      </c>
      <c r="W160" s="28">
        <v>58263.17</v>
      </c>
      <c r="X160" s="28"/>
      <c r="Y160" s="28"/>
    </row>
    <row r="161" spans="1:25" ht="16.5" thickBot="1" x14ac:dyDescent="0.3">
      <c r="A161" s="18" t="s">
        <v>319</v>
      </c>
      <c r="B161" s="19" t="s">
        <v>320</v>
      </c>
      <c r="C161" s="56">
        <v>601288</v>
      </c>
      <c r="D161" s="21"/>
      <c r="E161" s="58">
        <f t="shared" si="12"/>
        <v>601288</v>
      </c>
      <c r="F161" s="22">
        <f t="shared" si="10"/>
        <v>236474</v>
      </c>
      <c r="G161" s="22">
        <f t="shared" si="11"/>
        <v>364814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>
        <v>166570</v>
      </c>
      <c r="U161" s="28"/>
      <c r="V161" s="28">
        <v>52426</v>
      </c>
      <c r="W161" s="28">
        <v>17478</v>
      </c>
      <c r="X161" s="28"/>
      <c r="Y161" s="28"/>
    </row>
    <row r="162" spans="1:25" ht="16.5" thickBot="1" x14ac:dyDescent="0.3">
      <c r="A162" s="18" t="s">
        <v>321</v>
      </c>
      <c r="B162" s="19" t="s">
        <v>322</v>
      </c>
      <c r="C162" s="56">
        <v>331309</v>
      </c>
      <c r="D162" s="21"/>
      <c r="E162" s="58">
        <f t="shared" si="12"/>
        <v>331309</v>
      </c>
      <c r="F162" s="22">
        <f t="shared" si="10"/>
        <v>242445.94999999998</v>
      </c>
      <c r="G162" s="22">
        <f t="shared" si="11"/>
        <v>88863.050000000017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>
        <v>19229.650000000001</v>
      </c>
      <c r="U162" s="28"/>
      <c r="V162" s="28">
        <f>39216.3+184000</f>
        <v>223216.3</v>
      </c>
      <c r="W162" s="28"/>
      <c r="X162" s="28"/>
      <c r="Y162" s="28"/>
    </row>
    <row r="163" spans="1:25" ht="16.5" thickBot="1" x14ac:dyDescent="0.3">
      <c r="A163" s="18" t="s">
        <v>323</v>
      </c>
      <c r="B163" s="19" t="s">
        <v>324</v>
      </c>
      <c r="C163" s="56">
        <v>1110853</v>
      </c>
      <c r="D163" s="21"/>
      <c r="E163" s="58">
        <f t="shared" si="12"/>
        <v>1110853</v>
      </c>
      <c r="F163" s="22">
        <f t="shared" si="10"/>
        <v>0</v>
      </c>
      <c r="G163" s="22">
        <f t="shared" si="11"/>
        <v>1110853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6.5" thickBot="1" x14ac:dyDescent="0.3">
      <c r="A164" s="18" t="s">
        <v>325</v>
      </c>
      <c r="B164" s="19" t="s">
        <v>326</v>
      </c>
      <c r="C164" s="56">
        <v>291696</v>
      </c>
      <c r="D164" s="21"/>
      <c r="E164" s="58">
        <f t="shared" si="12"/>
        <v>291696</v>
      </c>
      <c r="F164" s="22">
        <f t="shared" si="10"/>
        <v>291696</v>
      </c>
      <c r="G164" s="22">
        <f t="shared" si="11"/>
        <v>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>
        <f>219144.54+72551.46</f>
        <v>291696</v>
      </c>
      <c r="W164" s="28"/>
      <c r="X164" s="28"/>
      <c r="Y164" s="28"/>
    </row>
    <row r="165" spans="1:25" ht="16.5" thickBot="1" x14ac:dyDescent="0.3">
      <c r="A165" s="18" t="s">
        <v>327</v>
      </c>
      <c r="B165" s="19" t="s">
        <v>328</v>
      </c>
      <c r="C165" s="56">
        <v>1672548</v>
      </c>
      <c r="D165" s="21"/>
      <c r="E165" s="58">
        <f t="shared" si="12"/>
        <v>1672548</v>
      </c>
      <c r="F165" s="22">
        <f t="shared" si="10"/>
        <v>775092</v>
      </c>
      <c r="G165" s="22">
        <f t="shared" si="11"/>
        <v>897456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>
        <v>332146</v>
      </c>
      <c r="S165" s="28">
        <v>38051</v>
      </c>
      <c r="T165" s="28">
        <v>53771</v>
      </c>
      <c r="U165" s="28">
        <v>45144</v>
      </c>
      <c r="V165" s="28">
        <v>141232</v>
      </c>
      <c r="W165" s="28">
        <v>71128</v>
      </c>
      <c r="X165" s="28">
        <v>51998</v>
      </c>
      <c r="Y165" s="28">
        <v>41622</v>
      </c>
    </row>
    <row r="166" spans="1:25" ht="16.5" thickBot="1" x14ac:dyDescent="0.3">
      <c r="A166" s="18" t="s">
        <v>329</v>
      </c>
      <c r="B166" s="19" t="s">
        <v>330</v>
      </c>
      <c r="C166" s="56">
        <v>679050</v>
      </c>
      <c r="D166" s="21"/>
      <c r="E166" s="58">
        <f t="shared" si="12"/>
        <v>679050</v>
      </c>
      <c r="F166" s="22">
        <f t="shared" si="10"/>
        <v>0</v>
      </c>
      <c r="G166" s="22">
        <f t="shared" si="11"/>
        <v>679050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thickBot="1" x14ac:dyDescent="0.3">
      <c r="A167" s="18" t="s">
        <v>331</v>
      </c>
      <c r="B167" s="19" t="s">
        <v>332</v>
      </c>
      <c r="C167" s="56">
        <v>1998711</v>
      </c>
      <c r="D167" s="21"/>
      <c r="E167" s="58">
        <f t="shared" si="12"/>
        <v>1998711</v>
      </c>
      <c r="F167" s="22">
        <f t="shared" si="10"/>
        <v>444997.33999999997</v>
      </c>
      <c r="G167" s="22">
        <f t="shared" si="11"/>
        <v>1553713.6600000001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>
        <v>234583.87</v>
      </c>
      <c r="V167" s="28">
        <v>210413.47</v>
      </c>
      <c r="W167" s="28"/>
      <c r="X167" s="28"/>
      <c r="Y167" s="28"/>
    </row>
    <row r="168" spans="1:25" ht="16.5" thickBot="1" x14ac:dyDescent="0.3">
      <c r="A168" s="18" t="s">
        <v>333</v>
      </c>
      <c r="B168" s="19" t="s">
        <v>334</v>
      </c>
      <c r="C168" s="56">
        <v>630088</v>
      </c>
      <c r="D168" s="21"/>
      <c r="E168" s="58">
        <f t="shared" si="12"/>
        <v>630088</v>
      </c>
      <c r="F168" s="22">
        <f t="shared" si="10"/>
        <v>126017.60000000001</v>
      </c>
      <c r="G168" s="22">
        <f t="shared" si="11"/>
        <v>504070.40000000002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>
        <f>6094.63+69521.42+50401.55</f>
        <v>126017.60000000001</v>
      </c>
      <c r="W168" s="28"/>
      <c r="X168" s="28"/>
      <c r="Y168" s="28"/>
    </row>
    <row r="169" spans="1:25" ht="16.5" thickBot="1" x14ac:dyDescent="0.3">
      <c r="A169" s="18" t="s">
        <v>335</v>
      </c>
      <c r="B169" s="19" t="s">
        <v>336</v>
      </c>
      <c r="C169" s="56">
        <v>134953</v>
      </c>
      <c r="D169" s="21"/>
      <c r="E169" s="58">
        <f t="shared" si="12"/>
        <v>134953</v>
      </c>
      <c r="F169" s="22">
        <f t="shared" si="10"/>
        <v>0</v>
      </c>
      <c r="G169" s="22">
        <f t="shared" si="11"/>
        <v>134953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6.5" thickBot="1" x14ac:dyDescent="0.3">
      <c r="A170" s="18" t="s">
        <v>337</v>
      </c>
      <c r="B170" s="19" t="s">
        <v>338</v>
      </c>
      <c r="C170" s="56">
        <v>204216</v>
      </c>
      <c r="D170" s="21"/>
      <c r="E170" s="58">
        <f t="shared" si="12"/>
        <v>204216</v>
      </c>
      <c r="F170" s="22">
        <f t="shared" si="10"/>
        <v>162169.88999999998</v>
      </c>
      <c r="G170" s="22">
        <f t="shared" si="11"/>
        <v>42046.110000000015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>
        <f>138983.8+23186.09</f>
        <v>162169.88999999998</v>
      </c>
    </row>
    <row r="171" spans="1:25" ht="16.5" thickBot="1" x14ac:dyDescent="0.3">
      <c r="A171" s="18" t="s">
        <v>339</v>
      </c>
      <c r="B171" s="19" t="s">
        <v>340</v>
      </c>
      <c r="C171" s="56">
        <v>126772</v>
      </c>
      <c r="D171" s="21"/>
      <c r="E171" s="58">
        <f t="shared" si="12"/>
        <v>126772</v>
      </c>
      <c r="F171" s="22">
        <f t="shared" ref="F171:F190" si="13">SUM(H171:AB171)</f>
        <v>126772</v>
      </c>
      <c r="G171" s="22">
        <f t="shared" ref="G171:G190" si="14">E171-(F171+AC171+AD171)</f>
        <v>0</v>
      </c>
      <c r="H171" s="28"/>
      <c r="I171" s="28"/>
      <c r="J171" s="28"/>
      <c r="K171" s="28"/>
      <c r="L171" s="28"/>
      <c r="M171" s="28"/>
      <c r="N171" s="28">
        <f>64130+20325</f>
        <v>84455</v>
      </c>
      <c r="O171" s="28"/>
      <c r="P171" s="28">
        <v>42317</v>
      </c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 x14ac:dyDescent="0.3">
      <c r="A172" s="18" t="s">
        <v>341</v>
      </c>
      <c r="B172" s="19" t="s">
        <v>342</v>
      </c>
      <c r="C172" s="56">
        <v>194093</v>
      </c>
      <c r="D172" s="21"/>
      <c r="E172" s="58">
        <f t="shared" si="12"/>
        <v>194093</v>
      </c>
      <c r="F172" s="22">
        <f t="shared" si="13"/>
        <v>90651</v>
      </c>
      <c r="G172" s="22">
        <f t="shared" si="14"/>
        <v>103442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>
        <v>25376</v>
      </c>
      <c r="S172" s="28"/>
      <c r="T172" s="28"/>
      <c r="U172" s="28">
        <v>65275</v>
      </c>
      <c r="V172" s="28"/>
      <c r="W172" s="28"/>
      <c r="X172" s="28"/>
      <c r="Y172" s="28"/>
    </row>
    <row r="173" spans="1:25" ht="16.5" thickBot="1" x14ac:dyDescent="0.3">
      <c r="A173" s="18" t="s">
        <v>343</v>
      </c>
      <c r="B173" s="19" t="s">
        <v>344</v>
      </c>
      <c r="C173" s="56">
        <v>2137569</v>
      </c>
      <c r="D173" s="21"/>
      <c r="E173" s="58">
        <f t="shared" si="12"/>
        <v>2137569</v>
      </c>
      <c r="F173" s="22">
        <f t="shared" si="13"/>
        <v>274925.87</v>
      </c>
      <c r="G173" s="22">
        <f t="shared" si="14"/>
        <v>1862643.13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>
        <f>79430.73+89060.39</f>
        <v>168491.12</v>
      </c>
      <c r="R173" s="28"/>
      <c r="S173" s="28">
        <f>18105.5+88329.25</f>
        <v>106434.75</v>
      </c>
      <c r="T173" s="28"/>
      <c r="U173" s="28"/>
      <c r="V173" s="28"/>
      <c r="W173" s="28"/>
      <c r="X173" s="28"/>
      <c r="Y173" s="28"/>
    </row>
    <row r="174" spans="1:25" ht="16.5" thickBot="1" x14ac:dyDescent="0.3">
      <c r="A174" s="18" t="s">
        <v>345</v>
      </c>
      <c r="B174" s="19" t="s">
        <v>346</v>
      </c>
      <c r="C174" s="56">
        <v>1164252</v>
      </c>
      <c r="D174" s="21"/>
      <c r="E174" s="58">
        <f t="shared" si="12"/>
        <v>1164252</v>
      </c>
      <c r="F174" s="22">
        <f t="shared" si="13"/>
        <v>467261.6</v>
      </c>
      <c r="G174" s="22">
        <f t="shared" si="14"/>
        <v>696990.4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>
        <v>316788.44</v>
      </c>
      <c r="W174" s="28"/>
      <c r="X174" s="28"/>
      <c r="Y174" s="28">
        <v>150473.16</v>
      </c>
    </row>
    <row r="175" spans="1:25" ht="16.5" thickBot="1" x14ac:dyDescent="0.3">
      <c r="A175" s="18" t="s">
        <v>347</v>
      </c>
      <c r="B175" s="19" t="s">
        <v>348</v>
      </c>
      <c r="C175" s="56">
        <v>4021680</v>
      </c>
      <c r="D175" s="21"/>
      <c r="E175" s="58">
        <f t="shared" si="12"/>
        <v>4021680</v>
      </c>
      <c r="F175" s="22">
        <f t="shared" si="13"/>
        <v>0</v>
      </c>
      <c r="G175" s="22">
        <f t="shared" si="14"/>
        <v>4021680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6.5" thickBot="1" x14ac:dyDescent="0.3">
      <c r="A176" s="18" t="s">
        <v>349</v>
      </c>
      <c r="B176" s="19" t="s">
        <v>350</v>
      </c>
      <c r="C176" s="56">
        <v>2030375</v>
      </c>
      <c r="D176" s="21"/>
      <c r="E176" s="58">
        <f t="shared" si="12"/>
        <v>2030375</v>
      </c>
      <c r="F176" s="22">
        <f t="shared" si="13"/>
        <v>1245936.29</v>
      </c>
      <c r="G176" s="22">
        <f t="shared" si="14"/>
        <v>784438.71</v>
      </c>
      <c r="H176" s="28"/>
      <c r="I176" s="28"/>
      <c r="J176" s="28"/>
      <c r="K176" s="28"/>
      <c r="L176" s="28">
        <v>1667.4</v>
      </c>
      <c r="M176" s="28">
        <v>26038.99</v>
      </c>
      <c r="N176" s="28">
        <v>191997.89</v>
      </c>
      <c r="O176" s="28">
        <v>70306.16</v>
      </c>
      <c r="P176" s="28"/>
      <c r="Q176" s="28"/>
      <c r="R176" s="28">
        <v>174089.83</v>
      </c>
      <c r="S176" s="28"/>
      <c r="T176" s="28">
        <v>272486.24</v>
      </c>
      <c r="U176" s="28">
        <v>102652.58</v>
      </c>
      <c r="V176" s="28">
        <v>163813.68</v>
      </c>
      <c r="W176" s="28"/>
      <c r="X176" s="28">
        <v>131427.45000000001</v>
      </c>
      <c r="Y176" s="28">
        <v>111456.07</v>
      </c>
    </row>
    <row r="177" spans="1:25" ht="16.5" thickBot="1" x14ac:dyDescent="0.3">
      <c r="A177" s="18" t="s">
        <v>351</v>
      </c>
      <c r="B177" s="19" t="s">
        <v>352</v>
      </c>
      <c r="C177" s="56">
        <v>1948074</v>
      </c>
      <c r="D177" s="21"/>
      <c r="E177" s="58">
        <f t="shared" si="12"/>
        <v>1948074</v>
      </c>
      <c r="F177" s="22">
        <f t="shared" si="13"/>
        <v>674167.27999999991</v>
      </c>
      <c r="G177" s="22">
        <f t="shared" si="14"/>
        <v>1273906.7200000002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>
        <f>672347.32+1819.96</f>
        <v>674167.27999999991</v>
      </c>
    </row>
    <row r="178" spans="1:25" ht="16.5" thickBot="1" x14ac:dyDescent="0.3">
      <c r="A178" s="18" t="s">
        <v>353</v>
      </c>
      <c r="B178" s="19" t="s">
        <v>354</v>
      </c>
      <c r="C178" s="56">
        <v>42088667</v>
      </c>
      <c r="D178" s="21"/>
      <c r="E178" s="58">
        <f t="shared" si="12"/>
        <v>42088667</v>
      </c>
      <c r="F178" s="22">
        <f t="shared" si="13"/>
        <v>7025708.5999999996</v>
      </c>
      <c r="G178" s="22">
        <f t="shared" si="14"/>
        <v>35062958.399999999</v>
      </c>
      <c r="H178" s="28"/>
      <c r="I178" s="28"/>
      <c r="J178" s="28"/>
      <c r="K178" s="28"/>
      <c r="L178" s="28"/>
      <c r="M178" s="28"/>
      <c r="N178" s="28"/>
      <c r="O178" s="28">
        <v>886001.64</v>
      </c>
      <c r="P178" s="28">
        <v>1652729.39</v>
      </c>
      <c r="Q178" s="28"/>
      <c r="R178" s="28"/>
      <c r="S178" s="28"/>
      <c r="T178" s="28">
        <v>2383883.25</v>
      </c>
      <c r="U178" s="28">
        <v>1310448.67</v>
      </c>
      <c r="V178" s="28">
        <v>418503.95</v>
      </c>
      <c r="W178" s="28">
        <v>374141.7</v>
      </c>
      <c r="X178" s="28"/>
      <c r="Y178" s="28"/>
    </row>
    <row r="179" spans="1:25" ht="16.5" thickBot="1" x14ac:dyDescent="0.3">
      <c r="A179" s="18" t="s">
        <v>355</v>
      </c>
      <c r="B179" s="19" t="s">
        <v>356</v>
      </c>
      <c r="C179" s="56">
        <v>1536025</v>
      </c>
      <c r="D179" s="21"/>
      <c r="E179" s="58">
        <f t="shared" si="12"/>
        <v>1536025</v>
      </c>
      <c r="F179" s="22">
        <f t="shared" si="13"/>
        <v>710475</v>
      </c>
      <c r="G179" s="22">
        <f t="shared" si="14"/>
        <v>825550</v>
      </c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>
        <v>710475</v>
      </c>
      <c r="X179" s="28"/>
      <c r="Y179" s="28"/>
    </row>
    <row r="180" spans="1:25" ht="16.5" thickBot="1" x14ac:dyDescent="0.3">
      <c r="A180" s="18" t="s">
        <v>357</v>
      </c>
      <c r="B180" s="19" t="s">
        <v>358</v>
      </c>
      <c r="C180" s="56">
        <v>3477563</v>
      </c>
      <c r="D180" s="21"/>
      <c r="E180" s="58">
        <f t="shared" si="12"/>
        <v>3477563</v>
      </c>
      <c r="F180" s="22">
        <f t="shared" si="13"/>
        <v>742523.32</v>
      </c>
      <c r="G180" s="22">
        <f t="shared" si="14"/>
        <v>2735039.68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>
        <v>742523.32</v>
      </c>
      <c r="W180" s="28"/>
      <c r="X180" s="28"/>
      <c r="Y180" s="28"/>
    </row>
    <row r="181" spans="1:25" ht="16.5" thickBot="1" x14ac:dyDescent="0.3">
      <c r="A181" s="18" t="s">
        <v>359</v>
      </c>
      <c r="B181" s="19" t="s">
        <v>360</v>
      </c>
      <c r="C181" s="56">
        <v>1043560</v>
      </c>
      <c r="D181" s="21"/>
      <c r="E181" s="58">
        <f t="shared" si="12"/>
        <v>1043560</v>
      </c>
      <c r="F181" s="22">
        <f t="shared" si="13"/>
        <v>727904.94000000006</v>
      </c>
      <c r="G181" s="22">
        <f t="shared" si="14"/>
        <v>315655.05999999994</v>
      </c>
      <c r="H181" s="28"/>
      <c r="I181" s="28"/>
      <c r="J181" s="28"/>
      <c r="K181" s="28"/>
      <c r="L181" s="28"/>
      <c r="M181" s="28"/>
      <c r="N181" s="28">
        <v>246870.91</v>
      </c>
      <c r="O181" s="28"/>
      <c r="P181" s="28"/>
      <c r="Q181" s="28"/>
      <c r="R181" s="28"/>
      <c r="S181" s="28">
        <v>321111.98</v>
      </c>
      <c r="T181" s="28"/>
      <c r="U181" s="28">
        <v>57572.94</v>
      </c>
      <c r="V181" s="28">
        <v>25560.83</v>
      </c>
      <c r="W181" s="28">
        <v>25553.25</v>
      </c>
      <c r="X181" s="28"/>
      <c r="Y181" s="28">
        <v>51235.03</v>
      </c>
    </row>
    <row r="182" spans="1:25" ht="16.5" thickBot="1" x14ac:dyDescent="0.3">
      <c r="A182" s="18" t="s">
        <v>361</v>
      </c>
      <c r="B182" s="19" t="s">
        <v>362</v>
      </c>
      <c r="C182" s="56">
        <v>195125</v>
      </c>
      <c r="D182" s="21"/>
      <c r="E182" s="58">
        <f t="shared" si="12"/>
        <v>195125</v>
      </c>
      <c r="F182" s="22">
        <f t="shared" si="13"/>
        <v>195125</v>
      </c>
      <c r="G182" s="22">
        <f t="shared" si="14"/>
        <v>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>
        <f>141773.01+53351.99</f>
        <v>195125</v>
      </c>
      <c r="U182" s="28"/>
      <c r="V182" s="28"/>
      <c r="W182" s="28"/>
      <c r="X182" s="28"/>
      <c r="Y182" s="28"/>
    </row>
    <row r="183" spans="1:25" ht="16.5" thickBot="1" x14ac:dyDescent="0.3">
      <c r="A183" s="18" t="s">
        <v>363</v>
      </c>
      <c r="B183" s="19" t="s">
        <v>364</v>
      </c>
      <c r="C183" s="56">
        <v>0</v>
      </c>
      <c r="D183" s="21"/>
      <c r="E183" s="58">
        <f t="shared" si="12"/>
        <v>0</v>
      </c>
      <c r="F183" s="22">
        <f t="shared" si="13"/>
        <v>0</v>
      </c>
      <c r="G183" s="22">
        <f t="shared" si="14"/>
        <v>0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6.5" thickBot="1" x14ac:dyDescent="0.3">
      <c r="A184" s="18" t="s">
        <v>365</v>
      </c>
      <c r="B184" s="19" t="s">
        <v>366</v>
      </c>
      <c r="C184" s="56">
        <v>211227</v>
      </c>
      <c r="D184" s="21"/>
      <c r="E184" s="58">
        <f t="shared" si="12"/>
        <v>211227</v>
      </c>
      <c r="F184" s="22">
        <f t="shared" si="13"/>
        <v>0</v>
      </c>
      <c r="G184" s="22">
        <f t="shared" si="14"/>
        <v>211227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6.5" thickBot="1" x14ac:dyDescent="0.3">
      <c r="A185" s="18" t="s">
        <v>367</v>
      </c>
      <c r="B185" s="19" t="s">
        <v>368</v>
      </c>
      <c r="C185" s="56">
        <v>1239005</v>
      </c>
      <c r="D185" s="21"/>
      <c r="E185" s="58">
        <f t="shared" si="12"/>
        <v>1239005</v>
      </c>
      <c r="F185" s="22">
        <f t="shared" si="13"/>
        <v>280587.06</v>
      </c>
      <c r="G185" s="22">
        <f t="shared" si="14"/>
        <v>958417.94</v>
      </c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>
        <v>280587.06</v>
      </c>
      <c r="W185" s="28"/>
      <c r="X185" s="28"/>
      <c r="Y185" s="28"/>
    </row>
    <row r="186" spans="1:25" ht="16.5" thickBot="1" x14ac:dyDescent="0.3">
      <c r="A186" s="18" t="s">
        <v>369</v>
      </c>
      <c r="B186" s="19" t="s">
        <v>370</v>
      </c>
      <c r="C186" s="56">
        <v>867960</v>
      </c>
      <c r="D186" s="21"/>
      <c r="E186" s="58">
        <f t="shared" si="12"/>
        <v>867960</v>
      </c>
      <c r="F186" s="22">
        <f t="shared" si="13"/>
        <v>189300</v>
      </c>
      <c r="G186" s="22">
        <f t="shared" si="14"/>
        <v>678660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>
        <v>189300</v>
      </c>
      <c r="W186" s="28"/>
      <c r="X186" s="28"/>
      <c r="Y186" s="28"/>
    </row>
    <row r="187" spans="1:25" ht="16.5" thickBot="1" x14ac:dyDescent="0.3">
      <c r="A187" s="18" t="s">
        <v>371</v>
      </c>
      <c r="B187" s="19" t="s">
        <v>372</v>
      </c>
      <c r="C187" s="56">
        <v>215879</v>
      </c>
      <c r="D187" s="21"/>
      <c r="E187" s="58">
        <f t="shared" si="12"/>
        <v>215879</v>
      </c>
      <c r="F187" s="22">
        <f t="shared" si="13"/>
        <v>16545.47</v>
      </c>
      <c r="G187" s="22">
        <f t="shared" si="14"/>
        <v>199333.53</v>
      </c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>
        <v>4531.63</v>
      </c>
      <c r="W187" s="28"/>
      <c r="X187" s="28"/>
      <c r="Y187" s="28">
        <f>12013.84</f>
        <v>12013.84</v>
      </c>
    </row>
    <row r="188" spans="1:25" ht="16.5" thickBot="1" x14ac:dyDescent="0.3">
      <c r="A188" s="18" t="s">
        <v>373</v>
      </c>
      <c r="B188" s="19" t="s">
        <v>374</v>
      </c>
      <c r="C188" s="56">
        <v>6113</v>
      </c>
      <c r="D188" s="21"/>
      <c r="E188" s="58">
        <f t="shared" si="12"/>
        <v>6113</v>
      </c>
      <c r="F188" s="22">
        <f t="shared" si="13"/>
        <v>0</v>
      </c>
      <c r="G188" s="22">
        <f t="shared" si="14"/>
        <v>6113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6.5" thickBot="1" x14ac:dyDescent="0.3">
      <c r="A189" s="18" t="s">
        <v>375</v>
      </c>
      <c r="B189" s="19" t="s">
        <v>376</v>
      </c>
      <c r="C189" s="56">
        <v>14246759</v>
      </c>
      <c r="D189" s="21"/>
      <c r="E189" s="58">
        <f t="shared" si="12"/>
        <v>14246759</v>
      </c>
      <c r="F189" s="22">
        <f t="shared" si="13"/>
        <v>8403408.2699999996</v>
      </c>
      <c r="G189" s="22">
        <f t="shared" si="14"/>
        <v>5843350.7300000004</v>
      </c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>
        <v>826098</v>
      </c>
      <c r="U189" s="28">
        <v>2373309</v>
      </c>
      <c r="V189" s="28">
        <v>1381183</v>
      </c>
      <c r="W189" s="28">
        <v>2217660.64</v>
      </c>
      <c r="X189" s="28">
        <v>1605157.63</v>
      </c>
      <c r="Y189" s="28"/>
    </row>
    <row r="190" spans="1:25" ht="16.5" thickBot="1" x14ac:dyDescent="0.3">
      <c r="A190" s="18" t="s">
        <v>377</v>
      </c>
      <c r="B190" s="19" t="s">
        <v>378</v>
      </c>
      <c r="C190" s="56">
        <v>400547</v>
      </c>
      <c r="D190" s="21"/>
      <c r="E190" s="58">
        <f t="shared" si="12"/>
        <v>400547</v>
      </c>
      <c r="F190" s="22">
        <f t="shared" si="13"/>
        <v>0</v>
      </c>
      <c r="G190" s="22">
        <f t="shared" si="14"/>
        <v>400547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6.5" thickBot="1" x14ac:dyDescent="0.3">
      <c r="A191" s="23" t="s">
        <v>379</v>
      </c>
      <c r="B191" s="24"/>
      <c r="C191" s="57">
        <f t="shared" ref="C191:Y191" si="15">SUM(C11:C190)</f>
        <v>1050438558</v>
      </c>
      <c r="D191" s="25">
        <f t="shared" si="15"/>
        <v>0</v>
      </c>
      <c r="E191" s="57">
        <f t="shared" si="15"/>
        <v>1050438558</v>
      </c>
      <c r="F191" s="25">
        <f t="shared" si="15"/>
        <v>232123983.45000005</v>
      </c>
      <c r="G191" s="57">
        <f t="shared" si="15"/>
        <v>818314574.55000007</v>
      </c>
      <c r="H191" s="25">
        <f t="shared" si="15"/>
        <v>0</v>
      </c>
      <c r="I191" s="25">
        <f t="shared" si="15"/>
        <v>0</v>
      </c>
      <c r="J191" s="25">
        <f t="shared" si="15"/>
        <v>0</v>
      </c>
      <c r="K191" s="25">
        <f t="shared" si="15"/>
        <v>827106.17999999993</v>
      </c>
      <c r="L191" s="25">
        <f t="shared" si="15"/>
        <v>49622.25</v>
      </c>
      <c r="M191" s="25">
        <f t="shared" si="15"/>
        <v>2136400.31</v>
      </c>
      <c r="N191" s="25">
        <f t="shared" si="15"/>
        <v>9647727.8000000026</v>
      </c>
      <c r="O191" s="25">
        <f t="shared" si="15"/>
        <v>5342111.6999999993</v>
      </c>
      <c r="P191" s="25">
        <f t="shared" si="15"/>
        <v>18714083.449999999</v>
      </c>
      <c r="Q191" s="25">
        <f t="shared" si="15"/>
        <v>4183954.9699999997</v>
      </c>
      <c r="R191" s="25">
        <f t="shared" si="15"/>
        <v>16875184.34</v>
      </c>
      <c r="S191" s="25">
        <f t="shared" si="15"/>
        <v>21955743.870000005</v>
      </c>
      <c r="T191" s="25">
        <f t="shared" si="15"/>
        <v>25037131.100000005</v>
      </c>
      <c r="U191" s="25">
        <f t="shared" si="15"/>
        <v>22907151.929999996</v>
      </c>
      <c r="V191" s="25">
        <f t="shared" si="15"/>
        <v>47258153.730000004</v>
      </c>
      <c r="W191" s="25">
        <f t="shared" si="15"/>
        <v>12918554.73</v>
      </c>
      <c r="X191" s="25">
        <f t="shared" si="15"/>
        <v>10242780.079999998</v>
      </c>
      <c r="Y191" s="25">
        <f t="shared" si="15"/>
        <v>34028277.00999999</v>
      </c>
    </row>
    <row r="192" spans="1:25" ht="16.5" thickBot="1" x14ac:dyDescent="0.3"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2:25" ht="16.5" thickBot="1" x14ac:dyDescent="0.3">
      <c r="B193" s="80" t="s">
        <v>548</v>
      </c>
      <c r="E193" s="5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2:25" ht="80.25" customHeight="1" thickBot="1" x14ac:dyDescent="0.3">
      <c r="B194" s="80"/>
      <c r="E194" s="5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2:25" ht="15.75" x14ac:dyDescent="0.25"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2:25" ht="15.75" x14ac:dyDescent="0.25"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2:25" ht="15.75" x14ac:dyDescent="0.25"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2:25" ht="15.75" x14ac:dyDescent="0.25"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2:25" ht="15.75" x14ac:dyDescent="0.25"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2:25" ht="15.75" x14ac:dyDescent="0.25"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2:25" ht="15.75" x14ac:dyDescent="0.25"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2:25" ht="15.75" x14ac:dyDescent="0.25"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2:25" ht="15.75" x14ac:dyDescent="0.25"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2:25" ht="15.75" x14ac:dyDescent="0.25"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2:25" ht="15.75" x14ac:dyDescent="0.25"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</sheetData>
  <sheetProtection algorithmName="SHA-512" hashValue="ahGwWahKGiMbnt/DSQv+r+o5tUIljUFT498F9wexO/j7Cg4jL3JlI4mCMIsBJ38Lz8UvCQI2VDybGrWwM109DA==" saltValue="CnEW+mOeQx9Ell7HIzjVGQ==" spinCount="100000" sheet="1" objects="1" scenarios="1"/>
  <mergeCells count="1">
    <mergeCell ref="B193:B19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9358-AF54-464F-8727-B9F03B0442DE}">
  <dimension ref="A1:AN197"/>
  <sheetViews>
    <sheetView tabSelected="1" topLeftCell="A24" workbookViewId="0">
      <pane xSplit="7" topLeftCell="O1" activePane="topRight" state="frozen"/>
      <selection pane="topRight" activeCell="Q48" sqref="Q48"/>
    </sheetView>
  </sheetViews>
  <sheetFormatPr defaultRowHeight="15" x14ac:dyDescent="0.25"/>
  <cols>
    <col min="1" max="1" width="17.28515625" customWidth="1"/>
    <col min="2" max="2" width="58.28515625" customWidth="1"/>
    <col min="3" max="3" width="20.42578125" customWidth="1"/>
    <col min="4" max="4" width="12.7109375" customWidth="1"/>
    <col min="5" max="5" width="19.5703125" customWidth="1"/>
    <col min="6" max="6" width="16.140625" customWidth="1"/>
    <col min="7" max="7" width="15.85546875" customWidth="1"/>
    <col min="8" max="40" width="15.7109375" customWidth="1"/>
  </cols>
  <sheetData>
    <row r="1" spans="1:40" ht="21" x14ac:dyDescent="0.35">
      <c r="A1" s="1" t="s">
        <v>0</v>
      </c>
      <c r="B1" s="2"/>
      <c r="C1" s="1" t="s">
        <v>550</v>
      </c>
      <c r="D1" s="3"/>
      <c r="E1" s="1"/>
      <c r="F1" s="4"/>
      <c r="G1" s="4"/>
    </row>
    <row r="2" spans="1:40" ht="15.75" x14ac:dyDescent="0.25">
      <c r="A2" s="5" t="s">
        <v>1</v>
      </c>
      <c r="B2" s="2"/>
      <c r="C2" s="6" t="s">
        <v>543</v>
      </c>
      <c r="D2" s="7"/>
      <c r="E2" s="6"/>
      <c r="F2" s="8"/>
      <c r="G2" s="8"/>
    </row>
    <row r="3" spans="1:40" ht="15.75" x14ac:dyDescent="0.25">
      <c r="A3" s="5" t="s">
        <v>3</v>
      </c>
      <c r="B3" s="2"/>
      <c r="C3" s="5">
        <v>4418</v>
      </c>
      <c r="D3" s="9"/>
      <c r="E3" s="5"/>
      <c r="F3" s="8"/>
      <c r="G3" s="8"/>
    </row>
    <row r="4" spans="1:40" ht="15.75" x14ac:dyDescent="0.25">
      <c r="A4" s="5" t="s">
        <v>4</v>
      </c>
      <c r="B4" s="2"/>
      <c r="C4" s="8" t="s">
        <v>5</v>
      </c>
      <c r="D4" s="10"/>
      <c r="E4" s="8"/>
      <c r="F4" s="8"/>
      <c r="G4" s="11"/>
    </row>
    <row r="5" spans="1:40" ht="15.75" x14ac:dyDescent="0.25">
      <c r="A5" s="5" t="s">
        <v>6</v>
      </c>
      <c r="B5" s="2"/>
      <c r="C5" s="8" t="s">
        <v>7</v>
      </c>
      <c r="D5" s="10"/>
      <c r="E5" s="8"/>
      <c r="F5" s="8"/>
      <c r="G5" s="11"/>
    </row>
    <row r="6" spans="1:40" ht="15.75" x14ac:dyDescent="0.25">
      <c r="A6" s="5"/>
      <c r="B6" s="2"/>
      <c r="C6" s="8" t="s">
        <v>8</v>
      </c>
      <c r="D6" s="10"/>
      <c r="E6" s="8"/>
      <c r="F6" s="8"/>
      <c r="G6" s="11"/>
    </row>
    <row r="7" spans="1:40" ht="15.75" x14ac:dyDescent="0.25">
      <c r="A7" s="5" t="s">
        <v>9</v>
      </c>
      <c r="B7" s="2"/>
      <c r="C7" s="8" t="s">
        <v>544</v>
      </c>
      <c r="D7" s="10"/>
      <c r="E7" s="8"/>
      <c r="F7" s="8"/>
      <c r="G7" s="11"/>
    </row>
    <row r="8" spans="1:40" ht="15.75" x14ac:dyDescent="0.25">
      <c r="A8" s="5" t="s">
        <v>10</v>
      </c>
      <c r="B8" s="2"/>
      <c r="C8" s="8" t="s">
        <v>438</v>
      </c>
      <c r="D8" s="10"/>
      <c r="E8" s="8"/>
      <c r="F8" s="8"/>
      <c r="G8" s="11"/>
    </row>
    <row r="9" spans="1:40" ht="16.5" thickBot="1" x14ac:dyDescent="0.3">
      <c r="A9" s="5" t="s">
        <v>11</v>
      </c>
      <c r="B9" s="2"/>
      <c r="C9" s="8" t="s">
        <v>551</v>
      </c>
      <c r="D9" s="10"/>
      <c r="E9" s="8"/>
      <c r="F9" s="8"/>
      <c r="G9" s="11"/>
    </row>
    <row r="10" spans="1:40" ht="32.25" thickBot="1" x14ac:dyDescent="0.3">
      <c r="A10" s="12" t="s">
        <v>12</v>
      </c>
      <c r="B10" s="13" t="s">
        <v>13</v>
      </c>
      <c r="C10" s="13" t="s">
        <v>14</v>
      </c>
      <c r="D10" s="14" t="s">
        <v>15</v>
      </c>
      <c r="E10" s="15" t="s">
        <v>16</v>
      </c>
      <c r="F10" s="16" t="s">
        <v>17</v>
      </c>
      <c r="G10" s="17" t="s">
        <v>18</v>
      </c>
      <c r="H10" s="26" t="s">
        <v>389</v>
      </c>
      <c r="I10" s="26" t="s">
        <v>390</v>
      </c>
      <c r="J10" s="26" t="s">
        <v>391</v>
      </c>
      <c r="K10" s="26" t="s">
        <v>392</v>
      </c>
      <c r="L10" s="26" t="s">
        <v>393</v>
      </c>
      <c r="M10" s="26" t="s">
        <v>394</v>
      </c>
      <c r="N10" s="26" t="s">
        <v>395</v>
      </c>
      <c r="O10" s="26" t="s">
        <v>396</v>
      </c>
      <c r="P10" s="26" t="s">
        <v>397</v>
      </c>
      <c r="Q10" s="26" t="s">
        <v>531</v>
      </c>
      <c r="R10" s="26" t="s">
        <v>532</v>
      </c>
      <c r="S10" s="26" t="s">
        <v>533</v>
      </c>
      <c r="T10" s="26" t="s">
        <v>534</v>
      </c>
      <c r="U10" s="26" t="s">
        <v>535</v>
      </c>
      <c r="V10" s="26" t="s">
        <v>536</v>
      </c>
      <c r="W10" s="26" t="s">
        <v>537</v>
      </c>
      <c r="X10" s="26" t="s">
        <v>538</v>
      </c>
      <c r="Y10" s="26" t="s">
        <v>539</v>
      </c>
      <c r="Z10" s="26" t="s">
        <v>540</v>
      </c>
      <c r="AA10" s="26" t="s">
        <v>541</v>
      </c>
      <c r="AB10" s="26" t="s">
        <v>542</v>
      </c>
      <c r="AC10" s="26" t="s">
        <v>781</v>
      </c>
      <c r="AD10" s="26" t="s">
        <v>782</v>
      </c>
      <c r="AE10" s="26" t="s">
        <v>783</v>
      </c>
      <c r="AF10" s="26" t="s">
        <v>784</v>
      </c>
      <c r="AG10" s="26" t="s">
        <v>785</v>
      </c>
      <c r="AH10" s="26" t="s">
        <v>786</v>
      </c>
      <c r="AI10" s="26" t="s">
        <v>787</v>
      </c>
      <c r="AJ10" s="26" t="s">
        <v>788</v>
      </c>
      <c r="AK10" s="26" t="s">
        <v>789</v>
      </c>
      <c r="AL10" s="26" t="s">
        <v>790</v>
      </c>
      <c r="AM10" s="26" t="s">
        <v>791</v>
      </c>
      <c r="AN10" s="26" t="s">
        <v>792</v>
      </c>
    </row>
    <row r="11" spans="1:40" ht="16.5" thickBot="1" x14ac:dyDescent="0.3">
      <c r="A11" s="18" t="s">
        <v>19</v>
      </c>
      <c r="B11" s="19" t="s">
        <v>552</v>
      </c>
      <c r="C11" s="20">
        <v>1925879</v>
      </c>
      <c r="D11" s="21"/>
      <c r="E11" s="22">
        <f>C11</f>
        <v>1925879</v>
      </c>
      <c r="F11" s="22">
        <f t="shared" ref="F11:F42" si="0">SUM(H11:AB11)</f>
        <v>89092.15</v>
      </c>
      <c r="G11" s="22">
        <f t="shared" ref="G11:G85" si="1">E11-(F11+AC11+AD11)</f>
        <v>1836786.85</v>
      </c>
      <c r="H11" s="28"/>
      <c r="I11" s="28"/>
      <c r="J11" s="28"/>
      <c r="K11" s="28"/>
      <c r="L11" s="28"/>
      <c r="M11" s="28"/>
      <c r="N11" s="28"/>
      <c r="O11" s="28"/>
      <c r="P11" s="28">
        <v>89092.15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40" ht="16.5" thickBot="1" x14ac:dyDescent="0.3">
      <c r="A12" s="18" t="s">
        <v>21</v>
      </c>
      <c r="B12" s="19" t="s">
        <v>553</v>
      </c>
      <c r="C12" s="20">
        <v>109221</v>
      </c>
      <c r="D12" s="21"/>
      <c r="E12" s="22">
        <f t="shared" ref="E12:E86" si="2">C12</f>
        <v>109221</v>
      </c>
      <c r="F12" s="22">
        <f t="shared" si="0"/>
        <v>0</v>
      </c>
      <c r="G12" s="22">
        <f t="shared" si="1"/>
        <v>109221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40" ht="16.5" thickBot="1" x14ac:dyDescent="0.3">
      <c r="A13" s="18" t="s">
        <v>41</v>
      </c>
      <c r="B13" s="19" t="s">
        <v>554</v>
      </c>
      <c r="C13" s="20">
        <v>6001</v>
      </c>
      <c r="D13" s="21"/>
      <c r="E13" s="22">
        <f t="shared" si="2"/>
        <v>6001</v>
      </c>
      <c r="F13" s="22">
        <f t="shared" si="0"/>
        <v>0</v>
      </c>
      <c r="G13" s="22">
        <f t="shared" si="1"/>
        <v>6001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40" ht="16.5" thickBot="1" x14ac:dyDescent="0.3">
      <c r="A14" s="18" t="s">
        <v>45</v>
      </c>
      <c r="B14" s="19" t="s">
        <v>555</v>
      </c>
      <c r="C14" s="20">
        <v>124244</v>
      </c>
      <c r="D14" s="21"/>
      <c r="E14" s="22">
        <f t="shared" si="2"/>
        <v>124244</v>
      </c>
      <c r="F14" s="22">
        <f t="shared" si="0"/>
        <v>0</v>
      </c>
      <c r="G14" s="22">
        <f t="shared" si="1"/>
        <v>124244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40" ht="16.5" thickBot="1" x14ac:dyDescent="0.3">
      <c r="A15" s="18" t="s">
        <v>47</v>
      </c>
      <c r="B15" s="19" t="s">
        <v>556</v>
      </c>
      <c r="C15" s="20">
        <v>39607</v>
      </c>
      <c r="D15" s="21"/>
      <c r="E15" s="22">
        <f t="shared" si="2"/>
        <v>39607</v>
      </c>
      <c r="F15" s="22">
        <f t="shared" si="0"/>
        <v>0</v>
      </c>
      <c r="G15" s="22">
        <f t="shared" si="1"/>
        <v>39607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40" ht="16.5" thickBot="1" x14ac:dyDescent="0.3">
      <c r="A16" s="18" t="s">
        <v>55</v>
      </c>
      <c r="B16" s="19" t="s">
        <v>557</v>
      </c>
      <c r="C16" s="20">
        <v>48463</v>
      </c>
      <c r="D16" s="21"/>
      <c r="E16" s="22">
        <f t="shared" si="2"/>
        <v>48463</v>
      </c>
      <c r="F16" s="22">
        <f t="shared" si="0"/>
        <v>0</v>
      </c>
      <c r="G16" s="22">
        <f t="shared" si="1"/>
        <v>48463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6.5" thickBot="1" x14ac:dyDescent="0.3">
      <c r="A17" s="18" t="s">
        <v>59</v>
      </c>
      <c r="B17" s="19" t="s">
        <v>558</v>
      </c>
      <c r="C17" s="20">
        <v>23921</v>
      </c>
      <c r="D17" s="21"/>
      <c r="E17" s="22">
        <f t="shared" si="2"/>
        <v>23921</v>
      </c>
      <c r="F17" s="22">
        <f t="shared" si="0"/>
        <v>10940</v>
      </c>
      <c r="G17" s="22">
        <f t="shared" si="1"/>
        <v>12981</v>
      </c>
      <c r="H17" s="28"/>
      <c r="I17" s="28"/>
      <c r="J17" s="28"/>
      <c r="K17" s="28"/>
      <c r="L17" s="28"/>
      <c r="M17" s="28">
        <v>10940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6.5" thickBot="1" x14ac:dyDescent="0.3">
      <c r="A18" s="18" t="s">
        <v>61</v>
      </c>
      <c r="B18" s="19" t="s">
        <v>559</v>
      </c>
      <c r="C18" s="20">
        <v>57738</v>
      </c>
      <c r="D18" s="21"/>
      <c r="E18" s="22">
        <f t="shared" si="2"/>
        <v>57738</v>
      </c>
      <c r="F18" s="22">
        <f t="shared" si="0"/>
        <v>9971.32</v>
      </c>
      <c r="G18" s="22">
        <f t="shared" si="1"/>
        <v>47766.68</v>
      </c>
      <c r="H18" s="28"/>
      <c r="I18" s="28"/>
      <c r="J18" s="28"/>
      <c r="K18" s="28"/>
      <c r="L18" s="28"/>
      <c r="M18" s="28">
        <v>9971.32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6.5" thickBot="1" x14ac:dyDescent="0.3">
      <c r="A19" s="18" t="s">
        <v>69</v>
      </c>
      <c r="B19" s="19" t="s">
        <v>560</v>
      </c>
      <c r="C19" s="20">
        <v>51610</v>
      </c>
      <c r="D19" s="21"/>
      <c r="E19" s="22">
        <f t="shared" si="2"/>
        <v>51610</v>
      </c>
      <c r="F19" s="22">
        <f t="shared" si="0"/>
        <v>0</v>
      </c>
      <c r="G19" s="22">
        <f t="shared" si="1"/>
        <v>51610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thickBot="1" x14ac:dyDescent="0.3">
      <c r="A20" s="18" t="s">
        <v>97</v>
      </c>
      <c r="B20" s="19" t="s">
        <v>561</v>
      </c>
      <c r="C20" s="20">
        <v>541907</v>
      </c>
      <c r="D20" s="21"/>
      <c r="E20" s="22">
        <f t="shared" si="2"/>
        <v>541907</v>
      </c>
      <c r="F20" s="22">
        <f t="shared" si="0"/>
        <v>0</v>
      </c>
      <c r="G20" s="22">
        <f t="shared" si="1"/>
        <v>541907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6.5" thickBot="1" x14ac:dyDescent="0.3">
      <c r="A21" s="18" t="s">
        <v>109</v>
      </c>
      <c r="B21" s="19" t="s">
        <v>562</v>
      </c>
      <c r="C21" s="20">
        <v>101168</v>
      </c>
      <c r="D21" s="21"/>
      <c r="E21" s="22">
        <f t="shared" si="2"/>
        <v>101168</v>
      </c>
      <c r="F21" s="22">
        <f t="shared" si="0"/>
        <v>0</v>
      </c>
      <c r="G21" s="22">
        <f t="shared" si="1"/>
        <v>101168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6.5" thickBot="1" x14ac:dyDescent="0.3">
      <c r="A22" s="18" t="s">
        <v>113</v>
      </c>
      <c r="B22" s="19" t="s">
        <v>563</v>
      </c>
      <c r="C22" s="20">
        <v>50329</v>
      </c>
      <c r="D22" s="21"/>
      <c r="E22" s="22">
        <f t="shared" si="2"/>
        <v>50329</v>
      </c>
      <c r="F22" s="22">
        <f t="shared" si="0"/>
        <v>0</v>
      </c>
      <c r="G22" s="22">
        <f t="shared" si="1"/>
        <v>50329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6.5" thickBot="1" x14ac:dyDescent="0.3">
      <c r="A23" s="18" t="s">
        <v>121</v>
      </c>
      <c r="B23" s="19" t="s">
        <v>564</v>
      </c>
      <c r="C23" s="20">
        <v>26405</v>
      </c>
      <c r="D23" s="21"/>
      <c r="E23" s="22">
        <f t="shared" si="2"/>
        <v>26405</v>
      </c>
      <c r="F23" s="22">
        <f t="shared" si="0"/>
        <v>0</v>
      </c>
      <c r="G23" s="22">
        <f t="shared" si="1"/>
        <v>26405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6.5" thickBot="1" x14ac:dyDescent="0.3">
      <c r="A24" s="18" t="s">
        <v>123</v>
      </c>
      <c r="B24" s="19" t="s">
        <v>565</v>
      </c>
      <c r="C24" s="20">
        <v>94218</v>
      </c>
      <c r="D24" s="21"/>
      <c r="E24" s="22">
        <f t="shared" si="2"/>
        <v>94218</v>
      </c>
      <c r="F24" s="22">
        <f t="shared" si="0"/>
        <v>0</v>
      </c>
      <c r="G24" s="22">
        <f t="shared" si="1"/>
        <v>94218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thickBot="1" x14ac:dyDescent="0.3">
      <c r="A25" s="18" t="s">
        <v>131</v>
      </c>
      <c r="B25" s="19" t="s">
        <v>566</v>
      </c>
      <c r="C25" s="20">
        <v>1041</v>
      </c>
      <c r="D25" s="21"/>
      <c r="E25" s="22">
        <f t="shared" si="2"/>
        <v>1041</v>
      </c>
      <c r="F25" s="22">
        <f t="shared" si="0"/>
        <v>0</v>
      </c>
      <c r="G25" s="22">
        <f t="shared" si="1"/>
        <v>1041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6.5" thickBot="1" x14ac:dyDescent="0.3">
      <c r="A26" s="18" t="s">
        <v>151</v>
      </c>
      <c r="B26" s="19" t="s">
        <v>567</v>
      </c>
      <c r="C26" s="20">
        <v>2265776</v>
      </c>
      <c r="D26" s="21"/>
      <c r="E26" s="22">
        <f t="shared" si="2"/>
        <v>2265776</v>
      </c>
      <c r="F26" s="22">
        <f t="shared" si="0"/>
        <v>0</v>
      </c>
      <c r="G26" s="22">
        <f t="shared" si="1"/>
        <v>2265776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6.5" thickBot="1" x14ac:dyDescent="0.3">
      <c r="A27" s="18" t="s">
        <v>153</v>
      </c>
      <c r="B27" s="19" t="s">
        <v>568</v>
      </c>
      <c r="C27" s="20">
        <v>1025577</v>
      </c>
      <c r="D27" s="21"/>
      <c r="E27" s="22">
        <f t="shared" si="2"/>
        <v>1025577</v>
      </c>
      <c r="F27" s="22">
        <f t="shared" si="0"/>
        <v>0</v>
      </c>
      <c r="G27" s="22">
        <f t="shared" si="1"/>
        <v>1025577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6.5" thickBot="1" x14ac:dyDescent="0.3">
      <c r="A28" s="18" t="s">
        <v>155</v>
      </c>
      <c r="B28" s="19" t="s">
        <v>569</v>
      </c>
      <c r="C28" s="20">
        <v>445192</v>
      </c>
      <c r="D28" s="21"/>
      <c r="E28" s="22">
        <f t="shared" si="2"/>
        <v>445192</v>
      </c>
      <c r="F28" s="22">
        <f t="shared" si="0"/>
        <v>103150.32</v>
      </c>
      <c r="G28" s="22">
        <f t="shared" si="1"/>
        <v>342041.68</v>
      </c>
      <c r="H28" s="28"/>
      <c r="I28" s="28"/>
      <c r="J28" s="28"/>
      <c r="K28" s="28"/>
      <c r="L28" s="28"/>
      <c r="M28" s="28"/>
      <c r="N28" s="28"/>
      <c r="O28" s="28"/>
      <c r="P28" s="28">
        <v>103150.32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thickBot="1" x14ac:dyDescent="0.3">
      <c r="A29" s="18" t="s">
        <v>173</v>
      </c>
      <c r="B29" s="19" t="s">
        <v>570</v>
      </c>
      <c r="C29" s="20">
        <v>226844</v>
      </c>
      <c r="D29" s="21"/>
      <c r="E29" s="22">
        <f t="shared" si="2"/>
        <v>226844</v>
      </c>
      <c r="F29" s="22">
        <f t="shared" si="0"/>
        <v>0</v>
      </c>
      <c r="G29" s="22">
        <f t="shared" si="1"/>
        <v>226844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thickBot="1" x14ac:dyDescent="0.3">
      <c r="A30" s="18" t="s">
        <v>177</v>
      </c>
      <c r="B30" s="19" t="s">
        <v>571</v>
      </c>
      <c r="C30" s="20">
        <v>15855</v>
      </c>
      <c r="D30" s="21"/>
      <c r="E30" s="22">
        <f t="shared" si="2"/>
        <v>15855</v>
      </c>
      <c r="F30" s="22">
        <f t="shared" si="0"/>
        <v>0</v>
      </c>
      <c r="G30" s="22">
        <f t="shared" si="1"/>
        <v>15855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6.5" thickBot="1" x14ac:dyDescent="0.3">
      <c r="A31" s="18" t="s">
        <v>183</v>
      </c>
      <c r="B31" s="19" t="s">
        <v>572</v>
      </c>
      <c r="C31" s="20">
        <v>22112</v>
      </c>
      <c r="D31" s="21"/>
      <c r="E31" s="22">
        <f t="shared" si="2"/>
        <v>22112</v>
      </c>
      <c r="F31" s="22">
        <f t="shared" si="0"/>
        <v>0</v>
      </c>
      <c r="G31" s="22">
        <f t="shared" si="1"/>
        <v>22112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.5" thickBot="1" x14ac:dyDescent="0.3">
      <c r="A32" s="18" t="s">
        <v>185</v>
      </c>
      <c r="B32" s="19" t="s">
        <v>573</v>
      </c>
      <c r="C32" s="20">
        <v>33608</v>
      </c>
      <c r="D32" s="21"/>
      <c r="E32" s="22">
        <f t="shared" si="2"/>
        <v>33608</v>
      </c>
      <c r="F32" s="22">
        <f t="shared" si="0"/>
        <v>0</v>
      </c>
      <c r="G32" s="22">
        <f t="shared" si="1"/>
        <v>33608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6.5" thickBot="1" x14ac:dyDescent="0.3">
      <c r="A33" s="18" t="s">
        <v>191</v>
      </c>
      <c r="B33" s="19" t="s">
        <v>574</v>
      </c>
      <c r="C33" s="20">
        <v>109221</v>
      </c>
      <c r="D33" s="21"/>
      <c r="E33" s="22">
        <f t="shared" si="2"/>
        <v>109221</v>
      </c>
      <c r="F33" s="22">
        <f t="shared" si="0"/>
        <v>0</v>
      </c>
      <c r="G33" s="22">
        <f t="shared" si="1"/>
        <v>109221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6.5" thickBot="1" x14ac:dyDescent="0.3">
      <c r="A34" s="18" t="s">
        <v>193</v>
      </c>
      <c r="B34" s="19" t="s">
        <v>575</v>
      </c>
      <c r="C34" s="20">
        <v>40808</v>
      </c>
      <c r="D34" s="21"/>
      <c r="E34" s="22">
        <f t="shared" si="2"/>
        <v>40808</v>
      </c>
      <c r="F34" s="22">
        <f t="shared" si="0"/>
        <v>0</v>
      </c>
      <c r="G34" s="22">
        <f t="shared" si="1"/>
        <v>40808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thickBot="1" x14ac:dyDescent="0.3">
      <c r="A35" s="18" t="s">
        <v>195</v>
      </c>
      <c r="B35" s="19" t="s">
        <v>576</v>
      </c>
      <c r="C35" s="20">
        <v>195038</v>
      </c>
      <c r="D35" s="21"/>
      <c r="E35" s="22">
        <f t="shared" si="2"/>
        <v>195038</v>
      </c>
      <c r="F35" s="22">
        <f t="shared" si="0"/>
        <v>0</v>
      </c>
      <c r="G35" s="22">
        <f t="shared" si="1"/>
        <v>195038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6.5" thickBot="1" x14ac:dyDescent="0.3">
      <c r="A36" s="18" t="s">
        <v>213</v>
      </c>
      <c r="B36" s="19" t="s">
        <v>577</v>
      </c>
      <c r="C36" s="20">
        <v>139915</v>
      </c>
      <c r="D36" s="21"/>
      <c r="E36" s="22">
        <f t="shared" si="2"/>
        <v>139915</v>
      </c>
      <c r="F36" s="22">
        <f t="shared" si="0"/>
        <v>0</v>
      </c>
      <c r="G36" s="22">
        <f t="shared" si="1"/>
        <v>139915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thickBot="1" x14ac:dyDescent="0.3">
      <c r="A37" s="18" t="s">
        <v>235</v>
      </c>
      <c r="B37" s="19" t="s">
        <v>578</v>
      </c>
      <c r="C37" s="20">
        <v>54770</v>
      </c>
      <c r="D37" s="21"/>
      <c r="E37" s="22">
        <f t="shared" si="2"/>
        <v>54770</v>
      </c>
      <c r="F37" s="22">
        <f t="shared" si="0"/>
        <v>0</v>
      </c>
      <c r="G37" s="22">
        <f t="shared" si="1"/>
        <v>54770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6.5" thickBot="1" x14ac:dyDescent="0.3">
      <c r="A38" s="18" t="s">
        <v>239</v>
      </c>
      <c r="B38" s="19" t="s">
        <v>579</v>
      </c>
      <c r="C38" s="20">
        <v>489696</v>
      </c>
      <c r="D38" s="21"/>
      <c r="E38" s="22">
        <f t="shared" si="2"/>
        <v>489696</v>
      </c>
      <c r="F38" s="22">
        <f t="shared" si="0"/>
        <v>0</v>
      </c>
      <c r="G38" s="22">
        <f t="shared" si="1"/>
        <v>489696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6.5" thickBot="1" x14ac:dyDescent="0.3">
      <c r="A39" s="18" t="s">
        <v>249</v>
      </c>
      <c r="B39" s="19" t="s">
        <v>580</v>
      </c>
      <c r="C39" s="20">
        <v>43947</v>
      </c>
      <c r="D39" s="21"/>
      <c r="E39" s="22">
        <f t="shared" si="2"/>
        <v>43947</v>
      </c>
      <c r="F39" s="22">
        <f t="shared" si="0"/>
        <v>0</v>
      </c>
      <c r="G39" s="22">
        <f t="shared" si="1"/>
        <v>43947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6.5" thickBot="1" x14ac:dyDescent="0.3">
      <c r="A40" s="18" t="s">
        <v>251</v>
      </c>
      <c r="B40" s="19" t="s">
        <v>581</v>
      </c>
      <c r="C40" s="20">
        <v>328221</v>
      </c>
      <c r="D40" s="21"/>
      <c r="E40" s="22">
        <f t="shared" si="2"/>
        <v>328221</v>
      </c>
      <c r="F40" s="22">
        <f t="shared" si="0"/>
        <v>94779.18</v>
      </c>
      <c r="G40" s="22">
        <f t="shared" si="1"/>
        <v>233441.82</v>
      </c>
      <c r="H40" s="28"/>
      <c r="I40" s="28"/>
      <c r="J40" s="28"/>
      <c r="K40" s="28"/>
      <c r="L40" s="28"/>
      <c r="M40" s="28"/>
      <c r="N40" s="28"/>
      <c r="O40" s="28">
        <v>94779.18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6.5" thickBot="1" x14ac:dyDescent="0.3">
      <c r="A41" s="18" t="s">
        <v>277</v>
      </c>
      <c r="B41" s="19" t="s">
        <v>582</v>
      </c>
      <c r="C41" s="20">
        <v>34685</v>
      </c>
      <c r="D41" s="21"/>
      <c r="E41" s="22">
        <f t="shared" si="2"/>
        <v>34685</v>
      </c>
      <c r="F41" s="22">
        <f t="shared" si="0"/>
        <v>0</v>
      </c>
      <c r="G41" s="22">
        <f t="shared" si="1"/>
        <v>34685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6.5" thickBot="1" x14ac:dyDescent="0.3">
      <c r="A42" s="18" t="s">
        <v>293</v>
      </c>
      <c r="B42" s="19" t="s">
        <v>583</v>
      </c>
      <c r="C42" s="20">
        <v>4455499</v>
      </c>
      <c r="D42" s="21"/>
      <c r="E42" s="22">
        <f t="shared" si="2"/>
        <v>4455499</v>
      </c>
      <c r="F42" s="22">
        <f t="shared" si="0"/>
        <v>0</v>
      </c>
      <c r="G42" s="22">
        <f t="shared" si="1"/>
        <v>4455499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6.5" thickBot="1" x14ac:dyDescent="0.3">
      <c r="A43" s="18" t="s">
        <v>305</v>
      </c>
      <c r="B43" s="19" t="s">
        <v>584</v>
      </c>
      <c r="C43" s="20">
        <v>90000</v>
      </c>
      <c r="D43" s="21"/>
      <c r="E43" s="22">
        <f t="shared" si="2"/>
        <v>90000</v>
      </c>
      <c r="F43" s="22">
        <f t="shared" ref="F43:F85" si="3">SUM(H43:AB43)</f>
        <v>69888</v>
      </c>
      <c r="G43" s="22">
        <f t="shared" si="1"/>
        <v>20112</v>
      </c>
      <c r="H43" s="28"/>
      <c r="I43" s="28"/>
      <c r="J43" s="28"/>
      <c r="K43" s="28"/>
      <c r="L43" s="28"/>
      <c r="M43" s="28">
        <v>69888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6.5" thickBot="1" x14ac:dyDescent="0.3">
      <c r="A44" s="18" t="s">
        <v>335</v>
      </c>
      <c r="B44" s="19" t="s">
        <v>585</v>
      </c>
      <c r="C44" s="20">
        <v>15047</v>
      </c>
      <c r="D44" s="21"/>
      <c r="E44" s="22">
        <f t="shared" si="2"/>
        <v>15047</v>
      </c>
      <c r="F44" s="22">
        <f t="shared" si="3"/>
        <v>0</v>
      </c>
      <c r="G44" s="22">
        <f t="shared" si="1"/>
        <v>15047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6.5" thickBot="1" x14ac:dyDescent="0.3">
      <c r="A45" s="18" t="s">
        <v>337</v>
      </c>
      <c r="B45" s="19" t="s">
        <v>586</v>
      </c>
      <c r="C45" s="20">
        <v>45242</v>
      </c>
      <c r="D45" s="21"/>
      <c r="E45" s="22">
        <f t="shared" si="2"/>
        <v>45242</v>
      </c>
      <c r="F45" s="22">
        <f t="shared" si="3"/>
        <v>0</v>
      </c>
      <c r="G45" s="22">
        <f t="shared" si="1"/>
        <v>45242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6.5" thickBot="1" x14ac:dyDescent="0.3">
      <c r="A46" s="18" t="s">
        <v>339</v>
      </c>
      <c r="B46" s="19" t="s">
        <v>587</v>
      </c>
      <c r="C46" s="20">
        <v>23365</v>
      </c>
      <c r="D46" s="21"/>
      <c r="E46" s="22">
        <f t="shared" si="2"/>
        <v>23365</v>
      </c>
      <c r="F46" s="22">
        <f t="shared" si="3"/>
        <v>0</v>
      </c>
      <c r="G46" s="22">
        <f t="shared" si="1"/>
        <v>23365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thickBot="1" x14ac:dyDescent="0.3">
      <c r="A47" s="18" t="s">
        <v>343</v>
      </c>
      <c r="B47" s="19" t="s">
        <v>588</v>
      </c>
      <c r="C47" s="20">
        <v>117954</v>
      </c>
      <c r="D47" s="21"/>
      <c r="E47" s="22">
        <f t="shared" si="2"/>
        <v>117954</v>
      </c>
      <c r="F47" s="22">
        <f t="shared" si="3"/>
        <v>0</v>
      </c>
      <c r="G47" s="22">
        <f t="shared" si="1"/>
        <v>117954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6.5" thickBot="1" x14ac:dyDescent="0.3">
      <c r="A48" s="18" t="s">
        <v>359</v>
      </c>
      <c r="B48" s="19" t="s">
        <v>589</v>
      </c>
      <c r="C48" s="20">
        <v>45512</v>
      </c>
      <c r="D48" s="21"/>
      <c r="E48" s="22">
        <f t="shared" si="2"/>
        <v>45512</v>
      </c>
      <c r="F48" s="22">
        <f t="shared" si="3"/>
        <v>2677</v>
      </c>
      <c r="G48" s="22">
        <f t="shared" si="1"/>
        <v>42835</v>
      </c>
      <c r="H48" s="28"/>
      <c r="I48" s="28"/>
      <c r="J48" s="28"/>
      <c r="K48" s="28"/>
      <c r="L48" s="28"/>
      <c r="M48" s="28"/>
      <c r="N48" s="28"/>
      <c r="O48" s="28"/>
      <c r="P48" s="28">
        <v>2677</v>
      </c>
      <c r="Q48" s="28"/>
      <c r="R48" s="28"/>
      <c r="S48" s="28"/>
      <c r="T48" s="28"/>
      <c r="U48" s="28"/>
      <c r="V48" s="28"/>
      <c r="W48" s="28"/>
      <c r="X48" s="28"/>
      <c r="Y48" s="28"/>
    </row>
    <row r="49" spans="1:28" ht="16.5" thickBot="1" x14ac:dyDescent="0.3">
      <c r="A49" s="18" t="s">
        <v>363</v>
      </c>
      <c r="B49" s="19" t="s">
        <v>590</v>
      </c>
      <c r="C49" s="20">
        <v>90000</v>
      </c>
      <c r="D49" s="21"/>
      <c r="E49" s="22">
        <f t="shared" si="2"/>
        <v>90000</v>
      </c>
      <c r="F49" s="22">
        <f t="shared" si="3"/>
        <v>0</v>
      </c>
      <c r="G49" s="22">
        <f t="shared" si="1"/>
        <v>90000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8" ht="16.5" thickBot="1" x14ac:dyDescent="0.3">
      <c r="A50" s="18" t="s">
        <v>369</v>
      </c>
      <c r="B50" s="19" t="s">
        <v>591</v>
      </c>
      <c r="C50" s="20">
        <v>8610</v>
      </c>
      <c r="D50" s="21"/>
      <c r="E50" s="22">
        <f t="shared" si="2"/>
        <v>8610</v>
      </c>
      <c r="F50" s="22">
        <f t="shared" si="3"/>
        <v>0</v>
      </c>
      <c r="G50" s="22">
        <f t="shared" si="1"/>
        <v>8610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8" ht="16.5" thickBot="1" x14ac:dyDescent="0.3">
      <c r="A51" s="18" t="s">
        <v>371</v>
      </c>
      <c r="B51" s="19" t="s">
        <v>592</v>
      </c>
      <c r="C51" s="20">
        <v>15101</v>
      </c>
      <c r="D51" s="21"/>
      <c r="E51" s="22">
        <f t="shared" si="2"/>
        <v>15101</v>
      </c>
      <c r="F51" s="22">
        <f t="shared" si="3"/>
        <v>0</v>
      </c>
      <c r="G51" s="22">
        <f t="shared" si="1"/>
        <v>15101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8" ht="16.5" thickBot="1" x14ac:dyDescent="0.3">
      <c r="A52" s="18" t="s">
        <v>373</v>
      </c>
      <c r="B52" s="19" t="s">
        <v>593</v>
      </c>
      <c r="C52" s="20">
        <v>143887</v>
      </c>
      <c r="D52" s="21"/>
      <c r="E52" s="22">
        <f t="shared" si="2"/>
        <v>143887</v>
      </c>
      <c r="F52" s="22">
        <f t="shared" si="3"/>
        <v>0</v>
      </c>
      <c r="G52" s="22">
        <f t="shared" si="1"/>
        <v>143887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8" ht="16.5" thickBot="1" x14ac:dyDescent="0.3">
      <c r="A53" s="18"/>
      <c r="B53" s="69" t="s">
        <v>594</v>
      </c>
      <c r="C53" s="68">
        <f>SUM(C11:C52)</f>
        <v>13723234</v>
      </c>
      <c r="D53" s="67"/>
      <c r="E53" s="68">
        <f t="shared" ref="E53:P53" si="4">SUM(E11:E52)</f>
        <v>13723234</v>
      </c>
      <c r="F53" s="68">
        <f t="shared" si="4"/>
        <v>380497.97</v>
      </c>
      <c r="G53" s="68">
        <f t="shared" si="4"/>
        <v>13342736.030000001</v>
      </c>
      <c r="H53" s="68">
        <f t="shared" si="4"/>
        <v>0</v>
      </c>
      <c r="I53" s="68">
        <f t="shared" si="4"/>
        <v>0</v>
      </c>
      <c r="J53" s="68">
        <f t="shared" si="4"/>
        <v>0</v>
      </c>
      <c r="K53" s="68">
        <f t="shared" si="4"/>
        <v>0</v>
      </c>
      <c r="L53" s="68">
        <f t="shared" si="4"/>
        <v>0</v>
      </c>
      <c r="M53" s="68">
        <f t="shared" si="4"/>
        <v>90799.32</v>
      </c>
      <c r="N53" s="68">
        <f t="shared" si="4"/>
        <v>0</v>
      </c>
      <c r="O53" s="68">
        <f t="shared" si="4"/>
        <v>94779.18</v>
      </c>
      <c r="P53" s="68">
        <f t="shared" si="4"/>
        <v>194919.47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s="66" customFormat="1" ht="16.5" thickBot="1" x14ac:dyDescent="0.3">
      <c r="A54" s="60"/>
      <c r="B54" s="61"/>
      <c r="C54" s="59"/>
      <c r="D54" s="62"/>
      <c r="E54" s="63"/>
      <c r="F54" s="64"/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8" s="66" customFormat="1" ht="16.5" thickBot="1" x14ac:dyDescent="0.3">
      <c r="A55" s="60"/>
      <c r="B55" s="61"/>
      <c r="C55" s="59"/>
      <c r="D55" s="62"/>
      <c r="E55" s="63"/>
      <c r="F55" s="64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8" ht="16.5" thickBot="1" x14ac:dyDescent="0.3">
      <c r="A56" s="18" t="s">
        <v>403</v>
      </c>
      <c r="B56" s="19" t="s">
        <v>404</v>
      </c>
      <c r="C56" s="20">
        <v>147521</v>
      </c>
      <c r="D56" s="21"/>
      <c r="E56" s="22">
        <f>C56</f>
        <v>147521</v>
      </c>
      <c r="F56" s="22">
        <f t="shared" si="3"/>
        <v>0</v>
      </c>
      <c r="G56" s="22">
        <f t="shared" si="1"/>
        <v>147521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8" ht="16.5" thickBot="1" x14ac:dyDescent="0.3">
      <c r="A57" s="18" t="s">
        <v>406</v>
      </c>
      <c r="B57" s="19" t="s">
        <v>407</v>
      </c>
      <c r="C57" s="20">
        <v>76733</v>
      </c>
      <c r="D57" s="21"/>
      <c r="E57" s="22">
        <f t="shared" ref="E57:E60" si="5">C57</f>
        <v>76733</v>
      </c>
      <c r="F57" s="22">
        <f t="shared" si="3"/>
        <v>0</v>
      </c>
      <c r="G57" s="22">
        <f t="shared" si="1"/>
        <v>76733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8" ht="16.5" thickBot="1" x14ac:dyDescent="0.3">
      <c r="A58" s="18" t="s">
        <v>408</v>
      </c>
      <c r="B58" s="19" t="s">
        <v>409</v>
      </c>
      <c r="C58" s="20">
        <v>346332</v>
      </c>
      <c r="D58" s="21"/>
      <c r="E58" s="22">
        <f t="shared" si="5"/>
        <v>346332</v>
      </c>
      <c r="F58" s="22">
        <f t="shared" si="3"/>
        <v>0</v>
      </c>
      <c r="G58" s="22">
        <f t="shared" si="1"/>
        <v>346332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8" ht="16.5" thickBot="1" x14ac:dyDescent="0.3">
      <c r="A59" s="18" t="s">
        <v>405</v>
      </c>
      <c r="B59" s="19" t="s">
        <v>410</v>
      </c>
      <c r="C59" s="20">
        <v>105381</v>
      </c>
      <c r="D59" s="21"/>
      <c r="E59" s="22">
        <f t="shared" si="5"/>
        <v>105381</v>
      </c>
      <c r="F59" s="22">
        <f t="shared" si="3"/>
        <v>0</v>
      </c>
      <c r="G59" s="22">
        <f t="shared" si="1"/>
        <v>105381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8" ht="16.5" thickBot="1" x14ac:dyDescent="0.3">
      <c r="A60" s="18" t="s">
        <v>411</v>
      </c>
      <c r="B60" s="19" t="s">
        <v>412</v>
      </c>
      <c r="C60" s="20">
        <v>156044</v>
      </c>
      <c r="D60" s="21"/>
      <c r="E60" s="22">
        <f t="shared" si="5"/>
        <v>156044</v>
      </c>
      <c r="F60" s="22">
        <f t="shared" si="3"/>
        <v>0</v>
      </c>
      <c r="G60" s="22">
        <f t="shared" si="1"/>
        <v>156044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8" ht="16.5" thickBot="1" x14ac:dyDescent="0.3">
      <c r="A61" s="18" t="s">
        <v>413</v>
      </c>
      <c r="B61" s="19" t="s">
        <v>414</v>
      </c>
      <c r="C61" s="20">
        <v>85597</v>
      </c>
      <c r="D61" s="21"/>
      <c r="E61" s="22">
        <f t="shared" si="2"/>
        <v>85597</v>
      </c>
      <c r="F61" s="22">
        <f t="shared" si="3"/>
        <v>0</v>
      </c>
      <c r="G61" s="22">
        <f t="shared" si="1"/>
        <v>85597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8" ht="16.5" thickBot="1" x14ac:dyDescent="0.3">
      <c r="A62" s="18" t="s">
        <v>415</v>
      </c>
      <c r="B62" s="19" t="s">
        <v>416</v>
      </c>
      <c r="C62" s="20">
        <v>121351</v>
      </c>
      <c r="D62" s="21"/>
      <c r="E62" s="22">
        <f t="shared" si="2"/>
        <v>121351</v>
      </c>
      <c r="F62" s="22">
        <f t="shared" si="3"/>
        <v>0</v>
      </c>
      <c r="G62" s="22">
        <f t="shared" si="1"/>
        <v>121351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8" ht="16.5" thickBot="1" x14ac:dyDescent="0.3">
      <c r="A63" s="18" t="s">
        <v>417</v>
      </c>
      <c r="B63" s="19" t="s">
        <v>418</v>
      </c>
      <c r="C63" s="20">
        <v>127396</v>
      </c>
      <c r="D63" s="21"/>
      <c r="E63" s="22">
        <f t="shared" si="2"/>
        <v>127396</v>
      </c>
      <c r="F63" s="22">
        <f t="shared" si="3"/>
        <v>0</v>
      </c>
      <c r="G63" s="22">
        <f t="shared" si="1"/>
        <v>127396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8" ht="16.5" thickBot="1" x14ac:dyDescent="0.3">
      <c r="A64" s="18" t="s">
        <v>419</v>
      </c>
      <c r="B64" s="19" t="s">
        <v>420</v>
      </c>
      <c r="C64" s="20">
        <v>104948</v>
      </c>
      <c r="D64" s="21"/>
      <c r="E64" s="22">
        <f t="shared" si="2"/>
        <v>104948</v>
      </c>
      <c r="F64" s="22">
        <f t="shared" si="3"/>
        <v>0</v>
      </c>
      <c r="G64" s="22">
        <f t="shared" si="1"/>
        <v>104948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6.5" thickBot="1" x14ac:dyDescent="0.3">
      <c r="A65" s="18" t="s">
        <v>595</v>
      </c>
      <c r="B65" s="19" t="s">
        <v>596</v>
      </c>
      <c r="C65" s="20">
        <v>80322</v>
      </c>
      <c r="D65" s="21"/>
      <c r="E65" s="22">
        <f t="shared" si="2"/>
        <v>80322</v>
      </c>
      <c r="F65" s="22">
        <f t="shared" si="3"/>
        <v>0</v>
      </c>
      <c r="G65" s="22">
        <f t="shared" si="1"/>
        <v>80322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6.5" thickBot="1" x14ac:dyDescent="0.3">
      <c r="A66" s="18" t="s">
        <v>597</v>
      </c>
      <c r="B66" s="19" t="s">
        <v>598</v>
      </c>
      <c r="C66" s="20">
        <v>86703</v>
      </c>
      <c r="D66" s="21"/>
      <c r="E66" s="22">
        <f t="shared" si="2"/>
        <v>86703</v>
      </c>
      <c r="F66" s="22">
        <f t="shared" si="3"/>
        <v>0</v>
      </c>
      <c r="G66" s="22">
        <f t="shared" si="1"/>
        <v>86703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6.5" thickBot="1" x14ac:dyDescent="0.3">
      <c r="A67" s="18" t="s">
        <v>421</v>
      </c>
      <c r="B67" s="19" t="s">
        <v>422</v>
      </c>
      <c r="C67" s="20">
        <v>53354</v>
      </c>
      <c r="D67" s="21"/>
      <c r="E67" s="22">
        <f t="shared" si="2"/>
        <v>53354</v>
      </c>
      <c r="F67" s="22">
        <f t="shared" si="3"/>
        <v>0</v>
      </c>
      <c r="G67" s="22">
        <f t="shared" si="1"/>
        <v>53354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6.5" thickBot="1" x14ac:dyDescent="0.3">
      <c r="A68" s="18" t="s">
        <v>423</v>
      </c>
      <c r="B68" s="19" t="s">
        <v>424</v>
      </c>
      <c r="C68" s="20">
        <v>593181</v>
      </c>
      <c r="D68" s="21"/>
      <c r="E68" s="22">
        <f t="shared" si="2"/>
        <v>593181</v>
      </c>
      <c r="F68" s="22">
        <f t="shared" si="3"/>
        <v>0</v>
      </c>
      <c r="G68" s="22">
        <f t="shared" si="1"/>
        <v>593181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6.5" thickBot="1" x14ac:dyDescent="0.3">
      <c r="A69" s="18" t="s">
        <v>599</v>
      </c>
      <c r="B69" s="19" t="s">
        <v>600</v>
      </c>
      <c r="C69" s="20">
        <v>70981</v>
      </c>
      <c r="D69" s="21"/>
      <c r="E69" s="22">
        <f t="shared" si="2"/>
        <v>70981</v>
      </c>
      <c r="F69" s="22">
        <f t="shared" si="3"/>
        <v>0</v>
      </c>
      <c r="G69" s="22">
        <f t="shared" si="1"/>
        <v>70981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6.5" thickBot="1" x14ac:dyDescent="0.3">
      <c r="A70" s="18" t="s">
        <v>425</v>
      </c>
      <c r="B70" s="19" t="s">
        <v>601</v>
      </c>
      <c r="C70" s="20">
        <v>58652</v>
      </c>
      <c r="D70" s="21"/>
      <c r="E70" s="22">
        <f t="shared" si="2"/>
        <v>58652</v>
      </c>
      <c r="F70" s="22">
        <f t="shared" si="3"/>
        <v>0</v>
      </c>
      <c r="G70" s="22">
        <f t="shared" si="1"/>
        <v>58652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6.5" thickBot="1" x14ac:dyDescent="0.3">
      <c r="A71" s="18" t="s">
        <v>427</v>
      </c>
      <c r="B71" s="19" t="s">
        <v>428</v>
      </c>
      <c r="C71" s="20">
        <v>68852</v>
      </c>
      <c r="D71" s="21"/>
      <c r="E71" s="22">
        <f t="shared" si="2"/>
        <v>68852</v>
      </c>
      <c r="F71" s="22">
        <f t="shared" si="3"/>
        <v>0</v>
      </c>
      <c r="G71" s="22">
        <f t="shared" si="1"/>
        <v>68852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6.5" thickBot="1" x14ac:dyDescent="0.3">
      <c r="A72" s="18" t="s">
        <v>429</v>
      </c>
      <c r="B72" s="19" t="s">
        <v>430</v>
      </c>
      <c r="C72" s="20">
        <v>74768</v>
      </c>
      <c r="D72" s="21"/>
      <c r="E72" s="22">
        <f t="shared" si="2"/>
        <v>74768</v>
      </c>
      <c r="F72" s="22">
        <f t="shared" si="3"/>
        <v>0</v>
      </c>
      <c r="G72" s="22">
        <f t="shared" si="1"/>
        <v>74768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6.5" thickBot="1" x14ac:dyDescent="0.3">
      <c r="A73" s="18" t="s">
        <v>602</v>
      </c>
      <c r="B73" s="19" t="s">
        <v>603</v>
      </c>
      <c r="C73" s="20">
        <v>84092</v>
      </c>
      <c r="D73" s="21"/>
      <c r="E73" s="22">
        <f t="shared" si="2"/>
        <v>84092</v>
      </c>
      <c r="F73" s="22">
        <f t="shared" si="3"/>
        <v>0</v>
      </c>
      <c r="G73" s="22">
        <f t="shared" si="1"/>
        <v>84092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6.5" thickBot="1" x14ac:dyDescent="0.3">
      <c r="A74" s="18" t="s">
        <v>431</v>
      </c>
      <c r="B74" s="19" t="s">
        <v>432</v>
      </c>
      <c r="C74" s="20">
        <v>59102</v>
      </c>
      <c r="D74" s="21"/>
      <c r="E74" s="22">
        <f t="shared" si="2"/>
        <v>59102</v>
      </c>
      <c r="F74" s="22">
        <f t="shared" si="3"/>
        <v>0</v>
      </c>
      <c r="G74" s="22">
        <f t="shared" si="1"/>
        <v>59102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thickBot="1" x14ac:dyDescent="0.3">
      <c r="A75" s="18" t="s">
        <v>433</v>
      </c>
      <c r="B75" s="19" t="s">
        <v>604</v>
      </c>
      <c r="C75" s="20">
        <v>54431</v>
      </c>
      <c r="D75" s="21"/>
      <c r="E75" s="22">
        <f t="shared" si="2"/>
        <v>54431</v>
      </c>
      <c r="F75" s="22">
        <f t="shared" si="3"/>
        <v>0</v>
      </c>
      <c r="G75" s="22">
        <f t="shared" si="1"/>
        <v>54431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thickBot="1" x14ac:dyDescent="0.3">
      <c r="A76" s="18" t="s">
        <v>435</v>
      </c>
      <c r="B76" s="19" t="s">
        <v>436</v>
      </c>
      <c r="C76" s="20">
        <v>278250</v>
      </c>
      <c r="D76" s="21"/>
      <c r="E76" s="22">
        <f t="shared" si="2"/>
        <v>278250</v>
      </c>
      <c r="F76" s="22">
        <f t="shared" si="3"/>
        <v>0</v>
      </c>
      <c r="G76" s="22">
        <f t="shared" si="1"/>
        <v>278250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thickBot="1" x14ac:dyDescent="0.3">
      <c r="A77" s="18"/>
      <c r="B77" s="29" t="s">
        <v>605</v>
      </c>
      <c r="C77" s="68">
        <f>SUM(C56:C76)</f>
        <v>2833991</v>
      </c>
      <c r="D77" s="68"/>
      <c r="E77" s="68">
        <f t="shared" ref="E77:P77" si="6">SUM(E56:E76)</f>
        <v>2833991</v>
      </c>
      <c r="F77" s="68">
        <f t="shared" si="6"/>
        <v>0</v>
      </c>
      <c r="G77" s="68">
        <f t="shared" si="6"/>
        <v>2833991</v>
      </c>
      <c r="H77" s="68">
        <f t="shared" si="6"/>
        <v>0</v>
      </c>
      <c r="I77" s="68">
        <f t="shared" si="6"/>
        <v>0</v>
      </c>
      <c r="J77" s="68">
        <f t="shared" si="6"/>
        <v>0</v>
      </c>
      <c r="K77" s="68">
        <f t="shared" si="6"/>
        <v>0</v>
      </c>
      <c r="L77" s="68">
        <f t="shared" si="6"/>
        <v>0</v>
      </c>
      <c r="M77" s="68">
        <f t="shared" si="6"/>
        <v>0</v>
      </c>
      <c r="N77" s="68">
        <f t="shared" si="6"/>
        <v>0</v>
      </c>
      <c r="O77" s="68">
        <f t="shared" si="6"/>
        <v>0</v>
      </c>
      <c r="P77" s="68">
        <f t="shared" si="6"/>
        <v>0</v>
      </c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6.5" thickBot="1" x14ac:dyDescent="0.3">
      <c r="A78" s="60"/>
      <c r="B78" s="70"/>
      <c r="C78" s="71"/>
      <c r="D78" s="71"/>
      <c r="E78" s="71"/>
      <c r="F78" s="71"/>
      <c r="G78" s="71"/>
      <c r="H78" s="72"/>
      <c r="I78" s="72"/>
      <c r="J78" s="72"/>
      <c r="K78" s="72"/>
      <c r="L78" s="72"/>
      <c r="M78" s="72"/>
      <c r="N78" s="72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6.5" thickBot="1" x14ac:dyDescent="0.3">
      <c r="A79" s="60"/>
      <c r="B79" s="61"/>
      <c r="C79" s="71"/>
      <c r="D79" s="62"/>
      <c r="E79" s="64"/>
      <c r="F79" s="64"/>
      <c r="G79" s="64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6.5" thickBot="1" x14ac:dyDescent="0.3">
      <c r="A80" s="18" t="s">
        <v>606</v>
      </c>
      <c r="B80" s="19" t="s">
        <v>607</v>
      </c>
      <c r="C80" s="20">
        <v>57500</v>
      </c>
      <c r="D80" s="21"/>
      <c r="E80" s="22">
        <f t="shared" si="2"/>
        <v>57500</v>
      </c>
      <c r="F80" s="22">
        <f t="shared" si="3"/>
        <v>0</v>
      </c>
      <c r="G80" s="22">
        <f t="shared" si="1"/>
        <v>57500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6.5" thickBot="1" x14ac:dyDescent="0.3">
      <c r="A81" s="18" t="s">
        <v>608</v>
      </c>
      <c r="B81" s="19" t="s">
        <v>609</v>
      </c>
      <c r="C81" s="20">
        <v>274058</v>
      </c>
      <c r="D81" s="21"/>
      <c r="E81" s="22">
        <f t="shared" si="2"/>
        <v>274058</v>
      </c>
      <c r="F81" s="22">
        <f t="shared" si="3"/>
        <v>0</v>
      </c>
      <c r="G81" s="22">
        <f t="shared" si="1"/>
        <v>274058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6.5" thickBot="1" x14ac:dyDescent="0.3">
      <c r="A82" s="18" t="s">
        <v>610</v>
      </c>
      <c r="B82" s="19" t="s">
        <v>611</v>
      </c>
      <c r="C82" s="20">
        <v>50173</v>
      </c>
      <c r="D82" s="21"/>
      <c r="E82" s="22">
        <f t="shared" si="2"/>
        <v>50173</v>
      </c>
      <c r="F82" s="22">
        <f t="shared" si="3"/>
        <v>0</v>
      </c>
      <c r="G82" s="22">
        <f t="shared" si="1"/>
        <v>50173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6.5" thickBot="1" x14ac:dyDescent="0.3">
      <c r="A83" s="18" t="s">
        <v>612</v>
      </c>
      <c r="B83" s="19" t="s">
        <v>613</v>
      </c>
      <c r="C83" s="20">
        <v>124802</v>
      </c>
      <c r="D83" s="21"/>
      <c r="E83" s="22">
        <f t="shared" si="2"/>
        <v>124802</v>
      </c>
      <c r="F83" s="22">
        <f t="shared" si="3"/>
        <v>0</v>
      </c>
      <c r="G83" s="22">
        <f t="shared" si="1"/>
        <v>124802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6.5" thickBot="1" x14ac:dyDescent="0.3">
      <c r="A84" s="18" t="s">
        <v>614</v>
      </c>
      <c r="B84" s="19" t="s">
        <v>615</v>
      </c>
      <c r="C84" s="20">
        <v>71872</v>
      </c>
      <c r="D84" s="21"/>
      <c r="E84" s="22">
        <f t="shared" si="2"/>
        <v>71872</v>
      </c>
      <c r="F84" s="22">
        <f t="shared" si="3"/>
        <v>0</v>
      </c>
      <c r="G84" s="22">
        <f t="shared" si="1"/>
        <v>71872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6.5" thickBot="1" x14ac:dyDescent="0.3">
      <c r="A85" s="18" t="s">
        <v>616</v>
      </c>
      <c r="B85" s="19" t="s">
        <v>617</v>
      </c>
      <c r="C85" s="20">
        <v>24063</v>
      </c>
      <c r="D85" s="21"/>
      <c r="E85" s="22">
        <f t="shared" si="2"/>
        <v>24063</v>
      </c>
      <c r="F85" s="22">
        <f t="shared" si="3"/>
        <v>0</v>
      </c>
      <c r="G85" s="22">
        <f t="shared" si="1"/>
        <v>24063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6.5" thickBot="1" x14ac:dyDescent="0.3">
      <c r="A86" s="18" t="s">
        <v>618</v>
      </c>
      <c r="B86" s="19" t="s">
        <v>619</v>
      </c>
      <c r="C86" s="20">
        <v>9229</v>
      </c>
      <c r="D86" s="21"/>
      <c r="E86" s="22">
        <f t="shared" si="2"/>
        <v>9229</v>
      </c>
      <c r="F86" s="22">
        <f t="shared" ref="F86:F117" si="7">SUM(H86:AB86)</f>
        <v>0</v>
      </c>
      <c r="G86" s="22">
        <f t="shared" ref="G86:G152" si="8">E86-(F86+AC86+AD86)</f>
        <v>9229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6.5" thickBot="1" x14ac:dyDescent="0.3">
      <c r="A87" s="18" t="s">
        <v>620</v>
      </c>
      <c r="B87" s="19" t="s">
        <v>621</v>
      </c>
      <c r="C87" s="20">
        <v>453035</v>
      </c>
      <c r="D87" s="21"/>
      <c r="E87" s="22">
        <f t="shared" ref="E87:E153" si="9">C87</f>
        <v>453035</v>
      </c>
      <c r="F87" s="22">
        <f t="shared" si="7"/>
        <v>0</v>
      </c>
      <c r="G87" s="22">
        <f t="shared" si="8"/>
        <v>453035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6.5" thickBot="1" x14ac:dyDescent="0.3">
      <c r="A88" s="18" t="s">
        <v>622</v>
      </c>
      <c r="B88" s="19" t="s">
        <v>623</v>
      </c>
      <c r="C88" s="20">
        <v>105493</v>
      </c>
      <c r="D88" s="21"/>
      <c r="E88" s="22">
        <f t="shared" si="9"/>
        <v>105493</v>
      </c>
      <c r="F88" s="22">
        <f t="shared" si="7"/>
        <v>0</v>
      </c>
      <c r="G88" s="22">
        <f t="shared" si="8"/>
        <v>105493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6.5" thickBot="1" x14ac:dyDescent="0.3">
      <c r="A89" s="18" t="s">
        <v>624</v>
      </c>
      <c r="B89" s="19" t="s">
        <v>625</v>
      </c>
      <c r="C89" s="20">
        <v>307041</v>
      </c>
      <c r="D89" s="21"/>
      <c r="E89" s="22">
        <f t="shared" si="9"/>
        <v>307041</v>
      </c>
      <c r="F89" s="22">
        <f t="shared" si="7"/>
        <v>0</v>
      </c>
      <c r="G89" s="22">
        <f t="shared" si="8"/>
        <v>307041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6.5" thickBot="1" x14ac:dyDescent="0.3">
      <c r="A90" s="18" t="s">
        <v>626</v>
      </c>
      <c r="B90" s="19" t="s">
        <v>627</v>
      </c>
      <c r="C90" s="20">
        <v>247225</v>
      </c>
      <c r="D90" s="21"/>
      <c r="E90" s="22">
        <f t="shared" si="9"/>
        <v>247225</v>
      </c>
      <c r="F90" s="22">
        <f t="shared" si="7"/>
        <v>0</v>
      </c>
      <c r="G90" s="22">
        <f t="shared" si="8"/>
        <v>247225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6.5" thickBot="1" x14ac:dyDescent="0.3">
      <c r="A91" s="18" t="s">
        <v>628</v>
      </c>
      <c r="B91" s="19" t="s">
        <v>629</v>
      </c>
      <c r="C91" s="20">
        <v>225960</v>
      </c>
      <c r="D91" s="21"/>
      <c r="E91" s="22">
        <f t="shared" si="9"/>
        <v>225960</v>
      </c>
      <c r="F91" s="22">
        <f t="shared" si="7"/>
        <v>0</v>
      </c>
      <c r="G91" s="22">
        <f t="shared" si="8"/>
        <v>225960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6.5" thickBot="1" x14ac:dyDescent="0.3">
      <c r="A92" s="18" t="s">
        <v>630</v>
      </c>
      <c r="B92" s="19" t="s">
        <v>631</v>
      </c>
      <c r="C92" s="20">
        <v>38244</v>
      </c>
      <c r="D92" s="21"/>
      <c r="E92" s="22">
        <f t="shared" si="9"/>
        <v>38244</v>
      </c>
      <c r="F92" s="22">
        <f t="shared" si="7"/>
        <v>0</v>
      </c>
      <c r="G92" s="22">
        <f t="shared" si="8"/>
        <v>38244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6.5" thickBot="1" x14ac:dyDescent="0.3">
      <c r="A93" s="18" t="s">
        <v>632</v>
      </c>
      <c r="B93" s="19" t="s">
        <v>633</v>
      </c>
      <c r="C93" s="20">
        <v>628111</v>
      </c>
      <c r="D93" s="21"/>
      <c r="E93" s="22">
        <f t="shared" si="9"/>
        <v>628111</v>
      </c>
      <c r="F93" s="22">
        <f t="shared" si="7"/>
        <v>0</v>
      </c>
      <c r="G93" s="22">
        <f t="shared" si="8"/>
        <v>628111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6.5" thickBot="1" x14ac:dyDescent="0.3">
      <c r="A94" s="18" t="s">
        <v>634</v>
      </c>
      <c r="B94" s="19" t="s">
        <v>635</v>
      </c>
      <c r="C94" s="20">
        <v>458559</v>
      </c>
      <c r="D94" s="21"/>
      <c r="E94" s="22">
        <f t="shared" si="9"/>
        <v>458559</v>
      </c>
      <c r="F94" s="22">
        <f t="shared" si="7"/>
        <v>0</v>
      </c>
      <c r="G94" s="22">
        <f t="shared" si="8"/>
        <v>458559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6.5" thickBot="1" x14ac:dyDescent="0.3">
      <c r="A95" s="18" t="s">
        <v>636</v>
      </c>
      <c r="B95" s="19" t="s">
        <v>637</v>
      </c>
      <c r="C95" s="20">
        <v>45389</v>
      </c>
      <c r="D95" s="21"/>
      <c r="E95" s="22">
        <f t="shared" si="9"/>
        <v>45389</v>
      </c>
      <c r="F95" s="22">
        <f t="shared" si="7"/>
        <v>0</v>
      </c>
      <c r="G95" s="22">
        <f t="shared" si="8"/>
        <v>45389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6.5" thickBot="1" x14ac:dyDescent="0.3">
      <c r="A96" s="18" t="s">
        <v>638</v>
      </c>
      <c r="B96" s="19" t="s">
        <v>639</v>
      </c>
      <c r="C96" s="20">
        <v>16987</v>
      </c>
      <c r="D96" s="21"/>
      <c r="E96" s="22">
        <f t="shared" si="9"/>
        <v>16987</v>
      </c>
      <c r="F96" s="22">
        <f t="shared" si="7"/>
        <v>0</v>
      </c>
      <c r="G96" s="22">
        <f t="shared" si="8"/>
        <v>16987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6.5" thickBot="1" x14ac:dyDescent="0.3">
      <c r="A97" s="18" t="s">
        <v>640</v>
      </c>
      <c r="B97" s="19" t="s">
        <v>641</v>
      </c>
      <c r="C97" s="20">
        <v>96798</v>
      </c>
      <c r="D97" s="21"/>
      <c r="E97" s="22">
        <f t="shared" si="9"/>
        <v>96798</v>
      </c>
      <c r="F97" s="22">
        <f t="shared" si="7"/>
        <v>0</v>
      </c>
      <c r="G97" s="22">
        <f t="shared" si="8"/>
        <v>96798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6.5" thickBot="1" x14ac:dyDescent="0.3">
      <c r="A98" s="18" t="s">
        <v>642</v>
      </c>
      <c r="B98" s="19" t="s">
        <v>643</v>
      </c>
      <c r="C98" s="20">
        <v>65076</v>
      </c>
      <c r="D98" s="21"/>
      <c r="E98" s="22">
        <f t="shared" si="9"/>
        <v>65076</v>
      </c>
      <c r="F98" s="22">
        <f t="shared" si="7"/>
        <v>0</v>
      </c>
      <c r="G98" s="22">
        <f t="shared" si="8"/>
        <v>65076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6.5" thickBot="1" x14ac:dyDescent="0.3">
      <c r="A99" s="18" t="s">
        <v>644</v>
      </c>
      <c r="B99" s="19" t="s">
        <v>645</v>
      </c>
      <c r="C99" s="20">
        <v>98202</v>
      </c>
      <c r="D99" s="21"/>
      <c r="E99" s="22">
        <f t="shared" si="9"/>
        <v>98202</v>
      </c>
      <c r="F99" s="22">
        <f t="shared" si="7"/>
        <v>0</v>
      </c>
      <c r="G99" s="22">
        <f t="shared" si="8"/>
        <v>98202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6.5" thickBot="1" x14ac:dyDescent="0.3">
      <c r="A100" s="18" t="s">
        <v>646</v>
      </c>
      <c r="B100" s="19" t="s">
        <v>647</v>
      </c>
      <c r="C100" s="20">
        <v>162848</v>
      </c>
      <c r="D100" s="21"/>
      <c r="E100" s="22">
        <f t="shared" si="9"/>
        <v>162848</v>
      </c>
      <c r="F100" s="22">
        <f t="shared" si="7"/>
        <v>0</v>
      </c>
      <c r="G100" s="22">
        <f t="shared" si="8"/>
        <v>162848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6.5" thickBot="1" x14ac:dyDescent="0.3">
      <c r="A101" s="18" t="s">
        <v>648</v>
      </c>
      <c r="B101" s="19" t="s">
        <v>649</v>
      </c>
      <c r="C101" s="20">
        <v>26219</v>
      </c>
      <c r="D101" s="21"/>
      <c r="E101" s="22">
        <f t="shared" si="9"/>
        <v>26219</v>
      </c>
      <c r="F101" s="22">
        <f t="shared" si="7"/>
        <v>0</v>
      </c>
      <c r="G101" s="22">
        <f t="shared" si="8"/>
        <v>26219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6.5" thickBot="1" x14ac:dyDescent="0.3">
      <c r="A102" s="18" t="s">
        <v>650</v>
      </c>
      <c r="B102" s="19" t="s">
        <v>651</v>
      </c>
      <c r="C102" s="20">
        <v>138365</v>
      </c>
      <c r="D102" s="21"/>
      <c r="E102" s="22">
        <f t="shared" si="9"/>
        <v>138365</v>
      </c>
      <c r="F102" s="22">
        <f t="shared" si="7"/>
        <v>1329</v>
      </c>
      <c r="G102" s="22">
        <f t="shared" si="8"/>
        <v>137036</v>
      </c>
      <c r="H102" s="28"/>
      <c r="I102" s="28"/>
      <c r="J102" s="28"/>
      <c r="K102" s="28"/>
      <c r="L102" s="28"/>
      <c r="M102" s="28">
        <v>1329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6.5" thickBot="1" x14ac:dyDescent="0.3">
      <c r="A103" s="18" t="s">
        <v>652</v>
      </c>
      <c r="B103" s="19" t="s">
        <v>653</v>
      </c>
      <c r="C103" s="20">
        <v>40154</v>
      </c>
      <c r="D103" s="21"/>
      <c r="E103" s="22">
        <f t="shared" si="9"/>
        <v>40154</v>
      </c>
      <c r="F103" s="22">
        <f t="shared" si="7"/>
        <v>0</v>
      </c>
      <c r="G103" s="22">
        <f t="shared" si="8"/>
        <v>40154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6.5" thickBot="1" x14ac:dyDescent="0.3">
      <c r="A104" s="18" t="s">
        <v>654</v>
      </c>
      <c r="B104" s="19" t="s">
        <v>655</v>
      </c>
      <c r="C104" s="20">
        <v>142478</v>
      </c>
      <c r="D104" s="75" t="s">
        <v>527</v>
      </c>
      <c r="E104" s="22">
        <f>0</f>
        <v>0</v>
      </c>
      <c r="F104" s="22">
        <f t="shared" si="7"/>
        <v>0</v>
      </c>
      <c r="G104" s="22">
        <f t="shared" si="8"/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6.5" thickBot="1" x14ac:dyDescent="0.3">
      <c r="A105" s="18" t="s">
        <v>656</v>
      </c>
      <c r="B105" s="19" t="s">
        <v>657</v>
      </c>
      <c r="C105" s="20">
        <v>31929</v>
      </c>
      <c r="D105" s="21"/>
      <c r="E105" s="22">
        <f t="shared" si="9"/>
        <v>31929</v>
      </c>
      <c r="F105" s="22">
        <f t="shared" si="7"/>
        <v>0</v>
      </c>
      <c r="G105" s="22">
        <f t="shared" si="8"/>
        <v>31929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 x14ac:dyDescent="0.3">
      <c r="A106" s="18" t="s">
        <v>658</v>
      </c>
      <c r="B106" s="19" t="s">
        <v>659</v>
      </c>
      <c r="C106" s="20">
        <v>34982</v>
      </c>
      <c r="D106" s="21"/>
      <c r="E106" s="22">
        <f t="shared" si="9"/>
        <v>34982</v>
      </c>
      <c r="F106" s="22">
        <f t="shared" si="7"/>
        <v>0</v>
      </c>
      <c r="G106" s="22">
        <f t="shared" si="8"/>
        <v>34982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6.5" thickBot="1" x14ac:dyDescent="0.3">
      <c r="A107" s="18" t="s">
        <v>660</v>
      </c>
      <c r="B107" s="19" t="s">
        <v>661</v>
      </c>
      <c r="C107" s="20">
        <v>10415</v>
      </c>
      <c r="D107" s="21"/>
      <c r="E107" s="22">
        <f t="shared" si="9"/>
        <v>10415</v>
      </c>
      <c r="F107" s="22">
        <f t="shared" si="7"/>
        <v>0</v>
      </c>
      <c r="G107" s="22">
        <f t="shared" si="8"/>
        <v>10415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6.5" thickBot="1" x14ac:dyDescent="0.3">
      <c r="A108" s="18" t="s">
        <v>662</v>
      </c>
      <c r="B108" s="19" t="s">
        <v>663</v>
      </c>
      <c r="C108" s="20">
        <v>573250</v>
      </c>
      <c r="D108" s="21"/>
      <c r="E108" s="22">
        <f t="shared" si="9"/>
        <v>573250</v>
      </c>
      <c r="F108" s="22">
        <f t="shared" si="7"/>
        <v>0</v>
      </c>
      <c r="G108" s="22">
        <f t="shared" si="8"/>
        <v>573250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6.5" thickBot="1" x14ac:dyDescent="0.3">
      <c r="A109" s="18" t="s">
        <v>664</v>
      </c>
      <c r="B109" s="19" t="s">
        <v>665</v>
      </c>
      <c r="C109" s="20">
        <v>40980</v>
      </c>
      <c r="D109" s="21"/>
      <c r="E109" s="22">
        <f t="shared" si="9"/>
        <v>40980</v>
      </c>
      <c r="F109" s="22">
        <f t="shared" si="7"/>
        <v>0</v>
      </c>
      <c r="G109" s="22">
        <f t="shared" si="8"/>
        <v>40980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6.5" thickBot="1" x14ac:dyDescent="0.3">
      <c r="A110" s="18" t="s">
        <v>666</v>
      </c>
      <c r="B110" s="19" t="s">
        <v>667</v>
      </c>
      <c r="C110" s="20">
        <v>165222</v>
      </c>
      <c r="D110" s="21"/>
      <c r="E110" s="22">
        <f t="shared" si="9"/>
        <v>165222</v>
      </c>
      <c r="F110" s="22">
        <f t="shared" si="7"/>
        <v>0</v>
      </c>
      <c r="G110" s="22">
        <f t="shared" si="8"/>
        <v>165222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6.5" thickBot="1" x14ac:dyDescent="0.3">
      <c r="A111" s="18" t="s">
        <v>668</v>
      </c>
      <c r="B111" s="19" t="s">
        <v>669</v>
      </c>
      <c r="C111" s="20">
        <v>107564</v>
      </c>
      <c r="D111" s="21"/>
      <c r="E111" s="22">
        <f t="shared" si="9"/>
        <v>107564</v>
      </c>
      <c r="F111" s="22">
        <f t="shared" si="7"/>
        <v>0</v>
      </c>
      <c r="G111" s="22">
        <f t="shared" si="8"/>
        <v>107564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6.5" thickBot="1" x14ac:dyDescent="0.3">
      <c r="A112" s="18" t="s">
        <v>670</v>
      </c>
      <c r="B112" s="19" t="s">
        <v>671</v>
      </c>
      <c r="C112" s="20">
        <v>5638</v>
      </c>
      <c r="D112" s="75" t="s">
        <v>527</v>
      </c>
      <c r="E112" s="22">
        <f>0</f>
        <v>0</v>
      </c>
      <c r="F112" s="22">
        <f t="shared" si="7"/>
        <v>0</v>
      </c>
      <c r="G112" s="22">
        <f t="shared" si="8"/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6.5" thickBot="1" x14ac:dyDescent="0.3">
      <c r="A113" s="18" t="s">
        <v>672</v>
      </c>
      <c r="B113" s="19" t="s">
        <v>673</v>
      </c>
      <c r="C113" s="20">
        <v>22233</v>
      </c>
      <c r="D113" s="21"/>
      <c r="E113" s="22">
        <f t="shared" si="9"/>
        <v>22233</v>
      </c>
      <c r="F113" s="22">
        <f t="shared" si="7"/>
        <v>0</v>
      </c>
      <c r="G113" s="22">
        <f t="shared" si="8"/>
        <v>22233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6.5" thickBot="1" x14ac:dyDescent="0.3">
      <c r="A114" s="18" t="s">
        <v>674</v>
      </c>
      <c r="B114" s="19" t="s">
        <v>675</v>
      </c>
      <c r="C114" s="20">
        <v>189133</v>
      </c>
      <c r="D114" s="21"/>
      <c r="E114" s="22">
        <f t="shared" si="9"/>
        <v>189133</v>
      </c>
      <c r="F114" s="22">
        <f t="shared" si="7"/>
        <v>0</v>
      </c>
      <c r="G114" s="22">
        <f t="shared" si="8"/>
        <v>189133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6.5" thickBot="1" x14ac:dyDescent="0.3">
      <c r="A115" s="18" t="s">
        <v>676</v>
      </c>
      <c r="B115" s="19" t="s">
        <v>677</v>
      </c>
      <c r="C115" s="20">
        <v>15262</v>
      </c>
      <c r="D115" s="21"/>
      <c r="E115" s="22">
        <f t="shared" si="9"/>
        <v>15262</v>
      </c>
      <c r="F115" s="22">
        <f t="shared" si="7"/>
        <v>0</v>
      </c>
      <c r="G115" s="22">
        <f t="shared" si="8"/>
        <v>15262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6.5" thickBot="1" x14ac:dyDescent="0.3">
      <c r="A116" s="18" t="s">
        <v>678</v>
      </c>
      <c r="B116" s="19" t="s">
        <v>679</v>
      </c>
      <c r="C116" s="20">
        <v>46684</v>
      </c>
      <c r="D116" s="21"/>
      <c r="E116" s="22">
        <f t="shared" si="9"/>
        <v>46684</v>
      </c>
      <c r="F116" s="22">
        <f t="shared" si="7"/>
        <v>0</v>
      </c>
      <c r="G116" s="22">
        <f t="shared" si="8"/>
        <v>46684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6.5" thickBot="1" x14ac:dyDescent="0.3">
      <c r="A117" s="18" t="s">
        <v>680</v>
      </c>
      <c r="B117" s="19" t="s">
        <v>681</v>
      </c>
      <c r="C117" s="20">
        <v>24566</v>
      </c>
      <c r="D117" s="21"/>
      <c r="E117" s="22">
        <f t="shared" si="9"/>
        <v>24566</v>
      </c>
      <c r="F117" s="22">
        <f t="shared" si="7"/>
        <v>0</v>
      </c>
      <c r="G117" s="22">
        <f t="shared" si="8"/>
        <v>24566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6.5" thickBot="1" x14ac:dyDescent="0.3">
      <c r="A118" s="18" t="s">
        <v>682</v>
      </c>
      <c r="B118" s="19" t="s">
        <v>683</v>
      </c>
      <c r="C118" s="20">
        <v>10163</v>
      </c>
      <c r="D118" s="21"/>
      <c r="E118" s="22">
        <f t="shared" si="9"/>
        <v>10163</v>
      </c>
      <c r="F118" s="22">
        <f t="shared" ref="F118:F152" si="10">SUM(H118:AB118)</f>
        <v>0</v>
      </c>
      <c r="G118" s="22">
        <f t="shared" si="8"/>
        <v>10163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6.5" thickBot="1" x14ac:dyDescent="0.3">
      <c r="A119" s="18" t="s">
        <v>684</v>
      </c>
      <c r="B119" s="19" t="s">
        <v>685</v>
      </c>
      <c r="C119" s="20">
        <v>143823</v>
      </c>
      <c r="D119" s="21"/>
      <c r="E119" s="22">
        <f t="shared" si="9"/>
        <v>143823</v>
      </c>
      <c r="F119" s="22">
        <f t="shared" si="10"/>
        <v>0</v>
      </c>
      <c r="G119" s="22">
        <f t="shared" si="8"/>
        <v>143823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6.5" thickBot="1" x14ac:dyDescent="0.3">
      <c r="A120" s="18" t="s">
        <v>686</v>
      </c>
      <c r="B120" s="19" t="s">
        <v>687</v>
      </c>
      <c r="C120" s="20">
        <v>86126</v>
      </c>
      <c r="D120" s="21"/>
      <c r="E120" s="22">
        <f t="shared" si="9"/>
        <v>86126</v>
      </c>
      <c r="F120" s="22">
        <f t="shared" si="10"/>
        <v>0</v>
      </c>
      <c r="G120" s="22">
        <f t="shared" si="8"/>
        <v>86126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6.5" thickBot="1" x14ac:dyDescent="0.3">
      <c r="A121" s="18" t="s">
        <v>688</v>
      </c>
      <c r="B121" s="19" t="s">
        <v>152</v>
      </c>
      <c r="C121" s="20">
        <v>32897</v>
      </c>
      <c r="D121" s="21"/>
      <c r="E121" s="22">
        <f t="shared" si="9"/>
        <v>32897</v>
      </c>
      <c r="F121" s="22">
        <f t="shared" si="10"/>
        <v>0</v>
      </c>
      <c r="G121" s="22">
        <f t="shared" si="8"/>
        <v>32897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6.5" thickBot="1" x14ac:dyDescent="0.3">
      <c r="A122" s="18" t="s">
        <v>689</v>
      </c>
      <c r="B122" s="19" t="s">
        <v>690</v>
      </c>
      <c r="C122" s="20">
        <v>19679</v>
      </c>
      <c r="D122" s="21"/>
      <c r="E122" s="22">
        <f t="shared" si="9"/>
        <v>19679</v>
      </c>
      <c r="F122" s="22">
        <f t="shared" si="10"/>
        <v>0</v>
      </c>
      <c r="G122" s="22">
        <f t="shared" si="8"/>
        <v>19679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6.5" thickBot="1" x14ac:dyDescent="0.3">
      <c r="A123" s="18" t="s">
        <v>691</v>
      </c>
      <c r="B123" s="19" t="s">
        <v>692</v>
      </c>
      <c r="C123" s="20">
        <v>41770</v>
      </c>
      <c r="D123" s="21"/>
      <c r="E123" s="22">
        <f t="shared" si="9"/>
        <v>41770</v>
      </c>
      <c r="F123" s="22">
        <f t="shared" si="10"/>
        <v>0</v>
      </c>
      <c r="G123" s="22">
        <f t="shared" si="8"/>
        <v>41770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6.5" thickBot="1" x14ac:dyDescent="0.3">
      <c r="A124" s="18" t="s">
        <v>693</v>
      </c>
      <c r="B124" s="19" t="s">
        <v>694</v>
      </c>
      <c r="C124" s="20">
        <v>24745</v>
      </c>
      <c r="D124" s="21"/>
      <c r="E124" s="22">
        <f t="shared" si="9"/>
        <v>24745</v>
      </c>
      <c r="F124" s="22">
        <f t="shared" si="10"/>
        <v>0</v>
      </c>
      <c r="G124" s="22">
        <f t="shared" si="8"/>
        <v>24745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6.5" thickBot="1" x14ac:dyDescent="0.3">
      <c r="A125" s="18" t="s">
        <v>695</v>
      </c>
      <c r="B125" s="19" t="s">
        <v>696</v>
      </c>
      <c r="C125" s="20">
        <v>146850</v>
      </c>
      <c r="D125" s="21"/>
      <c r="E125" s="22">
        <f t="shared" si="9"/>
        <v>146850</v>
      </c>
      <c r="F125" s="22">
        <f t="shared" si="10"/>
        <v>0</v>
      </c>
      <c r="G125" s="22">
        <f t="shared" si="8"/>
        <v>146850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6.5" thickBot="1" x14ac:dyDescent="0.3">
      <c r="A126" s="18" t="s">
        <v>697</v>
      </c>
      <c r="B126" s="19" t="s">
        <v>404</v>
      </c>
      <c r="C126" s="20">
        <v>71393</v>
      </c>
      <c r="D126" s="21"/>
      <c r="E126" s="22">
        <f t="shared" si="9"/>
        <v>71393</v>
      </c>
      <c r="F126" s="22">
        <f t="shared" si="10"/>
        <v>0</v>
      </c>
      <c r="G126" s="22">
        <f t="shared" si="8"/>
        <v>71393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6.5" thickBot="1" x14ac:dyDescent="0.3">
      <c r="A127" s="18" t="s">
        <v>698</v>
      </c>
      <c r="B127" s="19" t="s">
        <v>699</v>
      </c>
      <c r="C127" s="20">
        <v>36024</v>
      </c>
      <c r="D127" s="21"/>
      <c r="E127" s="22">
        <f t="shared" si="9"/>
        <v>36024</v>
      </c>
      <c r="F127" s="22">
        <f t="shared" si="10"/>
        <v>0</v>
      </c>
      <c r="G127" s="22">
        <f t="shared" si="8"/>
        <v>36024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6.5" thickBot="1" x14ac:dyDescent="0.3">
      <c r="A128" s="18" t="s">
        <v>700</v>
      </c>
      <c r="B128" s="19" t="s">
        <v>601</v>
      </c>
      <c r="C128" s="20">
        <v>14080</v>
      </c>
      <c r="D128" s="21"/>
      <c r="E128" s="22">
        <f t="shared" si="9"/>
        <v>14080</v>
      </c>
      <c r="F128" s="22">
        <f t="shared" si="10"/>
        <v>0</v>
      </c>
      <c r="G128" s="22">
        <f t="shared" si="8"/>
        <v>14080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6.5" thickBot="1" x14ac:dyDescent="0.3">
      <c r="A129" s="18" t="s">
        <v>701</v>
      </c>
      <c r="B129" s="19" t="s">
        <v>407</v>
      </c>
      <c r="C129" s="20">
        <v>30779</v>
      </c>
      <c r="D129" s="21"/>
      <c r="E129" s="22">
        <f t="shared" si="9"/>
        <v>30779</v>
      </c>
      <c r="F129" s="22">
        <f t="shared" si="10"/>
        <v>0</v>
      </c>
      <c r="G129" s="22">
        <f t="shared" si="8"/>
        <v>30779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6.5" thickBot="1" x14ac:dyDescent="0.3">
      <c r="A130" s="18" t="s">
        <v>702</v>
      </c>
      <c r="B130" s="19" t="s">
        <v>703</v>
      </c>
      <c r="C130" s="20">
        <v>45937</v>
      </c>
      <c r="D130" s="21"/>
      <c r="E130" s="22">
        <f t="shared" si="9"/>
        <v>45937</v>
      </c>
      <c r="F130" s="22">
        <f t="shared" si="10"/>
        <v>0</v>
      </c>
      <c r="G130" s="22">
        <f t="shared" si="8"/>
        <v>45937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thickBot="1" x14ac:dyDescent="0.3">
      <c r="A131" s="18" t="s">
        <v>704</v>
      </c>
      <c r="B131" s="19" t="s">
        <v>705</v>
      </c>
      <c r="C131" s="20">
        <v>37278</v>
      </c>
      <c r="D131" s="21"/>
      <c r="E131" s="22">
        <f t="shared" si="9"/>
        <v>37278</v>
      </c>
      <c r="F131" s="22">
        <f t="shared" si="10"/>
        <v>0</v>
      </c>
      <c r="G131" s="22">
        <f t="shared" si="8"/>
        <v>37278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6.5" thickBot="1" x14ac:dyDescent="0.3">
      <c r="A132" s="18" t="s">
        <v>706</v>
      </c>
      <c r="B132" s="19" t="s">
        <v>412</v>
      </c>
      <c r="C132" s="20">
        <v>33040</v>
      </c>
      <c r="D132" s="21"/>
      <c r="E132" s="22">
        <f t="shared" si="9"/>
        <v>33040</v>
      </c>
      <c r="F132" s="22">
        <f t="shared" si="10"/>
        <v>0</v>
      </c>
      <c r="G132" s="22">
        <f t="shared" si="8"/>
        <v>33040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6.5" thickBot="1" x14ac:dyDescent="0.3">
      <c r="A133" s="18" t="s">
        <v>707</v>
      </c>
      <c r="B133" s="19" t="s">
        <v>414</v>
      </c>
      <c r="C133" s="20">
        <v>61670</v>
      </c>
      <c r="D133" s="21"/>
      <c r="E133" s="22">
        <f t="shared" si="9"/>
        <v>61670</v>
      </c>
      <c r="F133" s="22">
        <f t="shared" si="10"/>
        <v>0</v>
      </c>
      <c r="G133" s="22">
        <f t="shared" si="8"/>
        <v>61670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6.5" thickBot="1" x14ac:dyDescent="0.3">
      <c r="A134" s="18" t="s">
        <v>708</v>
      </c>
      <c r="B134" s="19" t="s">
        <v>416</v>
      </c>
      <c r="C134" s="20">
        <v>41512</v>
      </c>
      <c r="D134" s="21"/>
      <c r="E134" s="22">
        <f t="shared" si="9"/>
        <v>41512</v>
      </c>
      <c r="F134" s="22">
        <f t="shared" si="10"/>
        <v>0</v>
      </c>
      <c r="G134" s="22">
        <f t="shared" si="8"/>
        <v>41512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thickBot="1" x14ac:dyDescent="0.3">
      <c r="A135" s="18" t="s">
        <v>709</v>
      </c>
      <c r="B135" s="19" t="s">
        <v>430</v>
      </c>
      <c r="C135" s="20">
        <v>39357</v>
      </c>
      <c r="D135" s="21"/>
      <c r="E135" s="22">
        <f t="shared" si="9"/>
        <v>39357</v>
      </c>
      <c r="F135" s="22">
        <f t="shared" si="10"/>
        <v>0</v>
      </c>
      <c r="G135" s="22">
        <f t="shared" si="8"/>
        <v>39357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6.5" thickBot="1" x14ac:dyDescent="0.3">
      <c r="A136" s="18" t="s">
        <v>710</v>
      </c>
      <c r="B136" s="19" t="s">
        <v>418</v>
      </c>
      <c r="C136" s="20">
        <v>29015</v>
      </c>
      <c r="D136" s="21"/>
      <c r="E136" s="22">
        <f t="shared" si="9"/>
        <v>29015</v>
      </c>
      <c r="F136" s="22">
        <f t="shared" si="10"/>
        <v>0</v>
      </c>
      <c r="G136" s="22">
        <f t="shared" si="8"/>
        <v>29015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6.5" thickBot="1" x14ac:dyDescent="0.3">
      <c r="A137" s="18" t="s">
        <v>711</v>
      </c>
      <c r="B137" s="19" t="s">
        <v>420</v>
      </c>
      <c r="C137" s="20">
        <v>21653</v>
      </c>
      <c r="D137" s="21"/>
      <c r="E137" s="22">
        <f t="shared" si="9"/>
        <v>21653</v>
      </c>
      <c r="F137" s="22">
        <f t="shared" si="10"/>
        <v>0</v>
      </c>
      <c r="G137" s="22">
        <f t="shared" si="8"/>
        <v>21653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6.5" thickBot="1" x14ac:dyDescent="0.3">
      <c r="A138" s="18" t="s">
        <v>712</v>
      </c>
      <c r="B138" s="19" t="s">
        <v>428</v>
      </c>
      <c r="C138" s="20">
        <v>12749</v>
      </c>
      <c r="D138" s="21"/>
      <c r="E138" s="22">
        <f t="shared" si="9"/>
        <v>12749</v>
      </c>
      <c r="F138" s="22">
        <f t="shared" si="10"/>
        <v>0</v>
      </c>
      <c r="G138" s="22">
        <f t="shared" si="8"/>
        <v>12749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 x14ac:dyDescent="0.3">
      <c r="A139" s="18" t="s">
        <v>713</v>
      </c>
      <c r="B139" s="19" t="s">
        <v>409</v>
      </c>
      <c r="C139" s="20">
        <v>61164</v>
      </c>
      <c r="D139" s="21"/>
      <c r="E139" s="22">
        <f t="shared" si="9"/>
        <v>61164</v>
      </c>
      <c r="F139" s="22">
        <f t="shared" si="10"/>
        <v>0</v>
      </c>
      <c r="G139" s="22">
        <f t="shared" si="8"/>
        <v>61164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6.5" thickBot="1" x14ac:dyDescent="0.3">
      <c r="A140" s="18" t="s">
        <v>714</v>
      </c>
      <c r="B140" s="19" t="s">
        <v>432</v>
      </c>
      <c r="C140" s="20">
        <v>25504</v>
      </c>
      <c r="D140" s="21"/>
      <c r="E140" s="22">
        <f t="shared" si="9"/>
        <v>25504</v>
      </c>
      <c r="F140" s="22">
        <f t="shared" si="10"/>
        <v>0</v>
      </c>
      <c r="G140" s="22">
        <f t="shared" si="8"/>
        <v>25504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6.5" thickBot="1" x14ac:dyDescent="0.3">
      <c r="A141" s="18" t="s">
        <v>715</v>
      </c>
      <c r="B141" s="19" t="s">
        <v>422</v>
      </c>
      <c r="C141" s="20">
        <v>8617</v>
      </c>
      <c r="D141" s="21"/>
      <c r="E141" s="22">
        <f t="shared" si="9"/>
        <v>8617</v>
      </c>
      <c r="F141" s="22">
        <f t="shared" si="10"/>
        <v>0</v>
      </c>
      <c r="G141" s="22">
        <f t="shared" si="8"/>
        <v>8617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6.5" thickBot="1" x14ac:dyDescent="0.3">
      <c r="A142" s="18" t="s">
        <v>716</v>
      </c>
      <c r="B142" s="19" t="s">
        <v>436</v>
      </c>
      <c r="C142" s="20">
        <v>35949</v>
      </c>
      <c r="D142" s="21"/>
      <c r="E142" s="22">
        <f t="shared" si="9"/>
        <v>35949</v>
      </c>
      <c r="F142" s="22">
        <f t="shared" si="10"/>
        <v>0</v>
      </c>
      <c r="G142" s="22">
        <f t="shared" si="8"/>
        <v>35949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 x14ac:dyDescent="0.3">
      <c r="A143" s="18" t="s">
        <v>717</v>
      </c>
      <c r="B143" s="19" t="s">
        <v>376</v>
      </c>
      <c r="C143" s="20">
        <v>71028</v>
      </c>
      <c r="D143" s="21"/>
      <c r="E143" s="22">
        <f t="shared" si="9"/>
        <v>71028</v>
      </c>
      <c r="F143" s="22">
        <f t="shared" si="10"/>
        <v>0</v>
      </c>
      <c r="G143" s="22">
        <f t="shared" si="8"/>
        <v>71028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6.5" thickBot="1" x14ac:dyDescent="0.3">
      <c r="A144" s="18"/>
      <c r="B144" s="29" t="s">
        <v>718</v>
      </c>
      <c r="C144" s="68">
        <f>SUM(C80:C143)</f>
        <v>6358541</v>
      </c>
      <c r="D144" s="68">
        <f t="shared" ref="D144:U144" si="11">SUM(D80:D143)</f>
        <v>0</v>
      </c>
      <c r="E144" s="68">
        <f t="shared" si="11"/>
        <v>6210425</v>
      </c>
      <c r="F144" s="68">
        <f t="shared" si="11"/>
        <v>1329</v>
      </c>
      <c r="G144" s="68">
        <f t="shared" si="11"/>
        <v>6209096</v>
      </c>
      <c r="H144" s="68">
        <f t="shared" si="11"/>
        <v>0</v>
      </c>
      <c r="I144" s="68">
        <f t="shared" si="11"/>
        <v>0</v>
      </c>
      <c r="J144" s="68">
        <f t="shared" si="11"/>
        <v>0</v>
      </c>
      <c r="K144" s="68">
        <f t="shared" si="11"/>
        <v>0</v>
      </c>
      <c r="L144" s="68">
        <f t="shared" si="11"/>
        <v>0</v>
      </c>
      <c r="M144" s="68">
        <f t="shared" si="11"/>
        <v>1329</v>
      </c>
      <c r="N144" s="68">
        <f t="shared" si="11"/>
        <v>0</v>
      </c>
      <c r="O144" s="68">
        <f t="shared" si="11"/>
        <v>0</v>
      </c>
      <c r="P144" s="68">
        <f t="shared" si="11"/>
        <v>0</v>
      </c>
      <c r="Q144" s="68">
        <f t="shared" si="11"/>
        <v>0</v>
      </c>
      <c r="R144" s="68">
        <f t="shared" si="11"/>
        <v>0</v>
      </c>
      <c r="S144" s="68">
        <f t="shared" si="11"/>
        <v>0</v>
      </c>
      <c r="T144" s="68">
        <f t="shared" si="11"/>
        <v>0</v>
      </c>
      <c r="U144" s="68">
        <f t="shared" si="11"/>
        <v>0</v>
      </c>
      <c r="V144" s="28"/>
      <c r="W144" s="28"/>
      <c r="X144" s="28"/>
      <c r="Y144" s="28"/>
    </row>
    <row r="145" spans="1:25" ht="16.5" thickBot="1" x14ac:dyDescent="0.3">
      <c r="A145" s="60"/>
      <c r="B145" s="61"/>
      <c r="C145" s="71"/>
      <c r="D145" s="62"/>
      <c r="E145" s="63"/>
      <c r="F145" s="64"/>
      <c r="G145" s="64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6.5" thickBot="1" x14ac:dyDescent="0.3">
      <c r="A146" s="60"/>
      <c r="B146" s="61"/>
      <c r="C146" s="71"/>
      <c r="D146" s="62"/>
      <c r="E146" s="63"/>
      <c r="F146" s="64"/>
      <c r="G146" s="64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6.5" thickBot="1" x14ac:dyDescent="0.3">
      <c r="A147" s="18" t="s">
        <v>719</v>
      </c>
      <c r="B147" s="19" t="s">
        <v>720</v>
      </c>
      <c r="C147" s="20">
        <v>12000</v>
      </c>
      <c r="D147" s="21"/>
      <c r="E147" s="22">
        <f t="shared" si="9"/>
        <v>12000</v>
      </c>
      <c r="F147" s="22">
        <f t="shared" si="10"/>
        <v>0</v>
      </c>
      <c r="G147" s="22">
        <f t="shared" si="8"/>
        <v>12000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6.5" thickBot="1" x14ac:dyDescent="0.3">
      <c r="A148" s="18" t="s">
        <v>721</v>
      </c>
      <c r="B148" s="19" t="s">
        <v>722</v>
      </c>
      <c r="C148" s="20">
        <v>156000</v>
      </c>
      <c r="D148" s="21"/>
      <c r="E148" s="22">
        <f t="shared" si="9"/>
        <v>156000</v>
      </c>
      <c r="F148" s="22">
        <f t="shared" si="10"/>
        <v>0</v>
      </c>
      <c r="G148" s="22">
        <f t="shared" si="8"/>
        <v>156000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6.5" thickBot="1" x14ac:dyDescent="0.3">
      <c r="A149" s="18" t="s">
        <v>723</v>
      </c>
      <c r="B149" s="19" t="s">
        <v>724</v>
      </c>
      <c r="C149" s="20">
        <v>25200</v>
      </c>
      <c r="D149" s="21"/>
      <c r="E149" s="22">
        <f t="shared" si="9"/>
        <v>25200</v>
      </c>
      <c r="F149" s="22">
        <f t="shared" si="10"/>
        <v>0</v>
      </c>
      <c r="G149" s="22">
        <f t="shared" si="8"/>
        <v>25200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6.5" thickBot="1" x14ac:dyDescent="0.3">
      <c r="A150" s="18" t="s">
        <v>725</v>
      </c>
      <c r="B150" s="19" t="s">
        <v>726</v>
      </c>
      <c r="C150" s="20">
        <v>15600</v>
      </c>
      <c r="D150" s="75" t="s">
        <v>527</v>
      </c>
      <c r="E150" s="22">
        <v>0</v>
      </c>
      <c r="F150" s="22">
        <f t="shared" si="10"/>
        <v>0</v>
      </c>
      <c r="G150" s="22">
        <f t="shared" si="8"/>
        <v>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6.5" thickBot="1" x14ac:dyDescent="0.3">
      <c r="A151" s="18" t="s">
        <v>727</v>
      </c>
      <c r="B151" s="19" t="s">
        <v>728</v>
      </c>
      <c r="C151" s="20">
        <v>26400</v>
      </c>
      <c r="D151" s="75" t="s">
        <v>527</v>
      </c>
      <c r="E151" s="22">
        <v>0</v>
      </c>
      <c r="F151" s="22">
        <f t="shared" si="10"/>
        <v>0</v>
      </c>
      <c r="G151" s="22">
        <f t="shared" si="8"/>
        <v>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6.5" thickBot="1" x14ac:dyDescent="0.3">
      <c r="A152" s="18" t="s">
        <v>729</v>
      </c>
      <c r="B152" s="19" t="s">
        <v>730</v>
      </c>
      <c r="C152" s="20">
        <v>52800</v>
      </c>
      <c r="D152" s="21"/>
      <c r="E152" s="22">
        <f t="shared" si="9"/>
        <v>52800</v>
      </c>
      <c r="F152" s="22">
        <f t="shared" si="10"/>
        <v>0</v>
      </c>
      <c r="G152" s="22">
        <f t="shared" si="8"/>
        <v>52800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6.5" thickBot="1" x14ac:dyDescent="0.3">
      <c r="A153" s="18" t="s">
        <v>731</v>
      </c>
      <c r="B153" s="19" t="s">
        <v>732</v>
      </c>
      <c r="C153" s="20">
        <v>99600</v>
      </c>
      <c r="D153" s="21"/>
      <c r="E153" s="22">
        <f t="shared" si="9"/>
        <v>99600</v>
      </c>
      <c r="F153" s="22">
        <f t="shared" ref="F153:F182" si="12">SUM(H153:AB153)</f>
        <v>0</v>
      </c>
      <c r="G153" s="22">
        <f t="shared" ref="G153:G182" si="13">E153-(F153+AC153+AD153)</f>
        <v>99600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6.5" thickBot="1" x14ac:dyDescent="0.3">
      <c r="A154" s="18" t="s">
        <v>733</v>
      </c>
      <c r="B154" s="19" t="s">
        <v>734</v>
      </c>
      <c r="C154" s="20">
        <v>61200</v>
      </c>
      <c r="D154" s="21"/>
      <c r="E154" s="22">
        <f t="shared" ref="E154:E182" si="14">C154</f>
        <v>61200</v>
      </c>
      <c r="F154" s="22">
        <f t="shared" si="12"/>
        <v>0</v>
      </c>
      <c r="G154" s="22">
        <f t="shared" si="13"/>
        <v>61200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6.5" thickBot="1" x14ac:dyDescent="0.3">
      <c r="A155" s="18" t="s">
        <v>735</v>
      </c>
      <c r="B155" s="19" t="s">
        <v>736</v>
      </c>
      <c r="C155" s="20">
        <v>15600</v>
      </c>
      <c r="D155" s="75" t="s">
        <v>527</v>
      </c>
      <c r="E155" s="22">
        <v>0</v>
      </c>
      <c r="F155" s="22">
        <f t="shared" si="12"/>
        <v>0</v>
      </c>
      <c r="G155" s="22">
        <f t="shared" si="13"/>
        <v>0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6.5" thickBot="1" x14ac:dyDescent="0.3">
      <c r="A156" s="18" t="s">
        <v>737</v>
      </c>
      <c r="B156" s="19" t="s">
        <v>738</v>
      </c>
      <c r="C156" s="20">
        <v>74400</v>
      </c>
      <c r="D156" s="21"/>
      <c r="E156" s="22">
        <f t="shared" si="14"/>
        <v>74400</v>
      </c>
      <c r="F156" s="22">
        <f t="shared" si="12"/>
        <v>0</v>
      </c>
      <c r="G156" s="22">
        <f t="shared" si="13"/>
        <v>74400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6.5" thickBot="1" x14ac:dyDescent="0.3">
      <c r="A157" s="18" t="s">
        <v>739</v>
      </c>
      <c r="B157" s="19" t="s">
        <v>740</v>
      </c>
      <c r="C157" s="20">
        <v>91200</v>
      </c>
      <c r="D157" s="21"/>
      <c r="E157" s="22">
        <f t="shared" si="14"/>
        <v>91200</v>
      </c>
      <c r="F157" s="22">
        <f t="shared" si="12"/>
        <v>0</v>
      </c>
      <c r="G157" s="22">
        <f t="shared" si="13"/>
        <v>91200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6.5" thickBot="1" x14ac:dyDescent="0.3">
      <c r="A158" s="18" t="s">
        <v>741</v>
      </c>
      <c r="B158" s="19" t="s">
        <v>742</v>
      </c>
      <c r="C158" s="20">
        <v>51600</v>
      </c>
      <c r="D158" s="21"/>
      <c r="E158" s="22">
        <f t="shared" si="14"/>
        <v>51600</v>
      </c>
      <c r="F158" s="22">
        <f t="shared" si="12"/>
        <v>0</v>
      </c>
      <c r="G158" s="22">
        <f t="shared" si="13"/>
        <v>51600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6.5" thickBot="1" x14ac:dyDescent="0.3">
      <c r="A159" s="18" t="s">
        <v>743</v>
      </c>
      <c r="B159" s="19" t="s">
        <v>744</v>
      </c>
      <c r="C159" s="20">
        <v>16800</v>
      </c>
      <c r="D159" s="21"/>
      <c r="E159" s="22">
        <f t="shared" si="14"/>
        <v>16800</v>
      </c>
      <c r="F159" s="22">
        <f t="shared" si="12"/>
        <v>0</v>
      </c>
      <c r="G159" s="22">
        <f t="shared" si="13"/>
        <v>16800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6.5" thickBot="1" x14ac:dyDescent="0.3">
      <c r="A160" s="18" t="s">
        <v>745</v>
      </c>
      <c r="B160" s="19" t="s">
        <v>746</v>
      </c>
      <c r="C160" s="20">
        <v>38400</v>
      </c>
      <c r="D160" s="21"/>
      <c r="E160" s="22">
        <f t="shared" si="14"/>
        <v>38400</v>
      </c>
      <c r="F160" s="22">
        <f t="shared" si="12"/>
        <v>0</v>
      </c>
      <c r="G160" s="22">
        <f t="shared" si="13"/>
        <v>38400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6.5" thickBot="1" x14ac:dyDescent="0.3">
      <c r="A161" s="18" t="s">
        <v>747</v>
      </c>
      <c r="B161" s="19" t="s">
        <v>748</v>
      </c>
      <c r="C161" s="20">
        <v>87600</v>
      </c>
      <c r="D161" s="21"/>
      <c r="E161" s="22">
        <f t="shared" si="14"/>
        <v>87600</v>
      </c>
      <c r="F161" s="22">
        <f t="shared" si="12"/>
        <v>0</v>
      </c>
      <c r="G161" s="22">
        <f t="shared" si="13"/>
        <v>87600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thickBot="1" x14ac:dyDescent="0.3">
      <c r="A162" s="18" t="s">
        <v>749</v>
      </c>
      <c r="B162" s="19" t="s">
        <v>750</v>
      </c>
      <c r="C162" s="20">
        <v>21600</v>
      </c>
      <c r="D162" s="21"/>
      <c r="E162" s="22">
        <f t="shared" si="14"/>
        <v>21600</v>
      </c>
      <c r="F162" s="22">
        <f t="shared" si="12"/>
        <v>0</v>
      </c>
      <c r="G162" s="22">
        <f t="shared" si="13"/>
        <v>21600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6.5" thickBot="1" x14ac:dyDescent="0.3">
      <c r="A163" s="18" t="s">
        <v>751</v>
      </c>
      <c r="B163" s="19" t="s">
        <v>752</v>
      </c>
      <c r="C163" s="20">
        <v>49200</v>
      </c>
      <c r="D163" s="21"/>
      <c r="E163" s="22">
        <f t="shared" si="14"/>
        <v>49200</v>
      </c>
      <c r="F163" s="22">
        <f t="shared" si="12"/>
        <v>49200</v>
      </c>
      <c r="G163" s="22">
        <f t="shared" si="13"/>
        <v>0</v>
      </c>
      <c r="H163" s="28"/>
      <c r="I163" s="28"/>
      <c r="J163" s="28"/>
      <c r="K163" s="28"/>
      <c r="L163" s="28">
        <v>49200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6.5" thickBot="1" x14ac:dyDescent="0.3">
      <c r="A164" s="18" t="s">
        <v>753</v>
      </c>
      <c r="B164" s="19" t="s">
        <v>754</v>
      </c>
      <c r="C164" s="20">
        <v>84000</v>
      </c>
      <c r="D164" s="21"/>
      <c r="E164" s="22">
        <f t="shared" si="14"/>
        <v>84000</v>
      </c>
      <c r="F164" s="22">
        <f t="shared" si="12"/>
        <v>0</v>
      </c>
      <c r="G164" s="22">
        <f t="shared" si="13"/>
        <v>84000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6.5" thickBot="1" x14ac:dyDescent="0.3">
      <c r="A165" s="18" t="s">
        <v>755</v>
      </c>
      <c r="B165" s="19" t="s">
        <v>756</v>
      </c>
      <c r="C165" s="20">
        <v>8400</v>
      </c>
      <c r="D165" s="75" t="s">
        <v>527</v>
      </c>
      <c r="E165" s="22">
        <v>0</v>
      </c>
      <c r="F165" s="22">
        <f t="shared" si="12"/>
        <v>0</v>
      </c>
      <c r="G165" s="22">
        <f t="shared" si="13"/>
        <v>0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6.5" thickBot="1" x14ac:dyDescent="0.3">
      <c r="A166" s="18" t="s">
        <v>757</v>
      </c>
      <c r="B166" s="19" t="s">
        <v>758</v>
      </c>
      <c r="C166" s="20">
        <v>32400</v>
      </c>
      <c r="D166" s="21"/>
      <c r="E166" s="22">
        <f t="shared" si="14"/>
        <v>32400</v>
      </c>
      <c r="F166" s="22">
        <f t="shared" si="12"/>
        <v>0</v>
      </c>
      <c r="G166" s="22">
        <f t="shared" si="13"/>
        <v>32400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thickBot="1" x14ac:dyDescent="0.3">
      <c r="A167" s="18"/>
      <c r="B167" s="19" t="s">
        <v>759</v>
      </c>
      <c r="C167" s="20">
        <v>30000</v>
      </c>
      <c r="D167" s="21"/>
      <c r="E167" s="22">
        <f t="shared" si="14"/>
        <v>30000</v>
      </c>
      <c r="F167" s="22">
        <f t="shared" si="12"/>
        <v>0</v>
      </c>
      <c r="G167" s="22">
        <f t="shared" si="13"/>
        <v>30000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6.5" thickBot="1" x14ac:dyDescent="0.3">
      <c r="A168" s="18" t="s">
        <v>760</v>
      </c>
      <c r="B168" s="19" t="s">
        <v>761</v>
      </c>
      <c r="C168" s="20">
        <v>105600</v>
      </c>
      <c r="D168" s="21"/>
      <c r="E168" s="22">
        <f t="shared" si="14"/>
        <v>105600</v>
      </c>
      <c r="F168" s="22">
        <f t="shared" si="12"/>
        <v>0</v>
      </c>
      <c r="G168" s="22">
        <f t="shared" si="13"/>
        <v>105600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6.5" thickBot="1" x14ac:dyDescent="0.3">
      <c r="A169" s="18" t="s">
        <v>762</v>
      </c>
      <c r="B169" s="19" t="s">
        <v>763</v>
      </c>
      <c r="C169" s="20">
        <v>84000</v>
      </c>
      <c r="D169" s="21"/>
      <c r="E169" s="22">
        <f t="shared" si="14"/>
        <v>84000</v>
      </c>
      <c r="F169" s="22">
        <f t="shared" si="12"/>
        <v>0</v>
      </c>
      <c r="G169" s="22">
        <f t="shared" si="13"/>
        <v>84000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6.5" thickBot="1" x14ac:dyDescent="0.3">
      <c r="A170" s="18" t="s">
        <v>764</v>
      </c>
      <c r="B170" s="19" t="s">
        <v>765</v>
      </c>
      <c r="C170" s="20">
        <v>55200</v>
      </c>
      <c r="D170" s="21"/>
      <c r="E170" s="22">
        <f t="shared" si="14"/>
        <v>55200</v>
      </c>
      <c r="F170" s="22">
        <f t="shared" si="12"/>
        <v>0</v>
      </c>
      <c r="G170" s="22">
        <f t="shared" si="13"/>
        <v>55200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6.5" thickBot="1" x14ac:dyDescent="0.3">
      <c r="A171" s="18" t="s">
        <v>766</v>
      </c>
      <c r="B171" s="19" t="s">
        <v>767</v>
      </c>
      <c r="C171" s="20">
        <v>74400</v>
      </c>
      <c r="D171" s="75" t="s">
        <v>527</v>
      </c>
      <c r="E171" s="22">
        <v>0</v>
      </c>
      <c r="F171" s="22">
        <f t="shared" si="12"/>
        <v>0</v>
      </c>
      <c r="G171" s="22">
        <f t="shared" si="13"/>
        <v>0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 x14ac:dyDescent="0.3">
      <c r="A172" s="18" t="s">
        <v>768</v>
      </c>
      <c r="B172" s="19" t="s">
        <v>769</v>
      </c>
      <c r="C172" s="20">
        <v>87600</v>
      </c>
      <c r="D172" s="21"/>
      <c r="E172" s="22">
        <f t="shared" si="14"/>
        <v>87600</v>
      </c>
      <c r="F172" s="22">
        <f t="shared" si="12"/>
        <v>0</v>
      </c>
      <c r="G172" s="22">
        <f t="shared" si="13"/>
        <v>87600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6.5" thickBot="1" x14ac:dyDescent="0.3">
      <c r="A173" s="18" t="s">
        <v>770</v>
      </c>
      <c r="B173" s="19" t="s">
        <v>771</v>
      </c>
      <c r="C173" s="20">
        <v>19200</v>
      </c>
      <c r="D173" s="21"/>
      <c r="E173" s="22">
        <f t="shared" si="14"/>
        <v>19200</v>
      </c>
      <c r="F173" s="22">
        <f t="shared" si="12"/>
        <v>0</v>
      </c>
      <c r="G173" s="22">
        <f t="shared" si="13"/>
        <v>19200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6.5" thickBot="1" x14ac:dyDescent="0.3">
      <c r="A174" s="18" t="s">
        <v>772</v>
      </c>
      <c r="B174" s="19" t="s">
        <v>773</v>
      </c>
      <c r="C174" s="20">
        <v>10800</v>
      </c>
      <c r="D174" s="75" t="s">
        <v>527</v>
      </c>
      <c r="E174" s="22">
        <v>0</v>
      </c>
      <c r="F174" s="22">
        <f t="shared" si="12"/>
        <v>0</v>
      </c>
      <c r="G174" s="22">
        <f t="shared" si="13"/>
        <v>0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6.5" thickBot="1" x14ac:dyDescent="0.3">
      <c r="A175" s="18"/>
      <c r="B175" s="19" t="s">
        <v>777</v>
      </c>
      <c r="C175" s="20">
        <v>7200</v>
      </c>
      <c r="D175" s="75" t="s">
        <v>527</v>
      </c>
      <c r="E175" s="22">
        <f>0</f>
        <v>0</v>
      </c>
      <c r="F175" s="22">
        <f t="shared" si="12"/>
        <v>0</v>
      </c>
      <c r="G175" s="22">
        <f t="shared" si="13"/>
        <v>0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6.5" thickBot="1" x14ac:dyDescent="0.3">
      <c r="A176" s="18"/>
      <c r="B176" s="19" t="s">
        <v>776</v>
      </c>
      <c r="C176" s="20">
        <v>20400</v>
      </c>
      <c r="D176" s="21"/>
      <c r="E176" s="22">
        <f t="shared" si="14"/>
        <v>20400</v>
      </c>
      <c r="F176" s="22">
        <f t="shared" si="12"/>
        <v>0</v>
      </c>
      <c r="G176" s="22">
        <f t="shared" si="13"/>
        <v>20400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thickBot="1" x14ac:dyDescent="0.3">
      <c r="A177" s="18" t="s">
        <v>774</v>
      </c>
      <c r="B177" s="19" t="s">
        <v>775</v>
      </c>
      <c r="C177" s="20">
        <v>9600</v>
      </c>
      <c r="D177" s="21"/>
      <c r="E177" s="22">
        <f t="shared" si="14"/>
        <v>9600</v>
      </c>
      <c r="F177" s="22">
        <f t="shared" si="12"/>
        <v>0</v>
      </c>
      <c r="G177" s="22">
        <f t="shared" si="13"/>
        <v>9600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6.5" thickBot="1" x14ac:dyDescent="0.3">
      <c r="A178" s="18"/>
      <c r="B178" s="29" t="s">
        <v>778</v>
      </c>
      <c r="C178" s="68">
        <f>SUM(C147:C177)</f>
        <v>1524000</v>
      </c>
      <c r="D178" s="68">
        <f t="shared" ref="D178:V178" si="15">SUM(D147:D177)</f>
        <v>0</v>
      </c>
      <c r="E178" s="68">
        <f t="shared" si="15"/>
        <v>1365600</v>
      </c>
      <c r="F178" s="68">
        <f t="shared" si="15"/>
        <v>49200</v>
      </c>
      <c r="G178" s="68">
        <f t="shared" si="15"/>
        <v>1316400</v>
      </c>
      <c r="H178" s="68">
        <f t="shared" si="15"/>
        <v>0</v>
      </c>
      <c r="I178" s="68">
        <f t="shared" si="15"/>
        <v>0</v>
      </c>
      <c r="J178" s="68">
        <f t="shared" si="15"/>
        <v>0</v>
      </c>
      <c r="K178" s="68">
        <f t="shared" si="15"/>
        <v>0</v>
      </c>
      <c r="L178" s="68">
        <f t="shared" si="15"/>
        <v>49200</v>
      </c>
      <c r="M178" s="68">
        <f t="shared" si="15"/>
        <v>0</v>
      </c>
      <c r="N178" s="68">
        <f t="shared" si="15"/>
        <v>0</v>
      </c>
      <c r="O178" s="68">
        <f t="shared" si="15"/>
        <v>0</v>
      </c>
      <c r="P178" s="68">
        <f t="shared" si="15"/>
        <v>0</v>
      </c>
      <c r="Q178" s="68">
        <f t="shared" si="15"/>
        <v>0</v>
      </c>
      <c r="R178" s="68">
        <f t="shared" si="15"/>
        <v>0</v>
      </c>
      <c r="S178" s="68">
        <f t="shared" si="15"/>
        <v>0</v>
      </c>
      <c r="T178" s="68">
        <f t="shared" si="15"/>
        <v>0</v>
      </c>
      <c r="U178" s="68">
        <f t="shared" si="15"/>
        <v>0</v>
      </c>
      <c r="V178" s="68">
        <f t="shared" si="15"/>
        <v>0</v>
      </c>
      <c r="W178" s="28"/>
      <c r="X178" s="28"/>
      <c r="Y178" s="28"/>
    </row>
    <row r="179" spans="1:25" ht="16.5" thickBot="1" x14ac:dyDescent="0.3">
      <c r="A179" s="60"/>
      <c r="B179" s="61"/>
      <c r="C179" s="71"/>
      <c r="D179" s="62"/>
      <c r="E179" s="63"/>
      <c r="F179" s="64"/>
      <c r="G179" s="64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6.5" thickBot="1" x14ac:dyDescent="0.3">
      <c r="A180" s="60"/>
      <c r="B180" s="61"/>
      <c r="C180" s="71"/>
      <c r="D180" s="62"/>
      <c r="E180" s="63"/>
      <c r="F180" s="64"/>
      <c r="G180" s="64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6.5" thickBot="1" x14ac:dyDescent="0.3">
      <c r="A181" s="18" t="s">
        <v>439</v>
      </c>
      <c r="B181" s="19" t="s">
        <v>779</v>
      </c>
      <c r="C181" s="20">
        <v>280000</v>
      </c>
      <c r="D181" s="21"/>
      <c r="E181" s="58">
        <f t="shared" si="14"/>
        <v>280000</v>
      </c>
      <c r="F181" s="22">
        <f t="shared" si="12"/>
        <v>0</v>
      </c>
      <c r="G181" s="22">
        <f t="shared" si="13"/>
        <v>280000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6.5" thickBot="1" x14ac:dyDescent="0.3">
      <c r="A182" s="18" t="s">
        <v>529</v>
      </c>
      <c r="B182" s="19" t="s">
        <v>402</v>
      </c>
      <c r="C182" s="20">
        <v>280000</v>
      </c>
      <c r="D182" s="21"/>
      <c r="E182" s="58">
        <f t="shared" si="14"/>
        <v>280000</v>
      </c>
      <c r="F182" s="22">
        <f t="shared" si="12"/>
        <v>0</v>
      </c>
      <c r="G182" s="22">
        <f t="shared" si="13"/>
        <v>280000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6.5" thickBot="1" x14ac:dyDescent="0.3">
      <c r="A183" s="18"/>
      <c r="B183" s="29" t="s">
        <v>780</v>
      </c>
      <c r="C183" s="68">
        <f>SUM(C181:C182)</f>
        <v>560000</v>
      </c>
      <c r="D183" s="68">
        <f t="shared" ref="D183:G183" si="16">SUM(D181:D182)</f>
        <v>0</v>
      </c>
      <c r="E183" s="68">
        <f t="shared" si="16"/>
        <v>560000</v>
      </c>
      <c r="F183" s="68">
        <f t="shared" si="16"/>
        <v>0</v>
      </c>
      <c r="G183" s="68">
        <f t="shared" si="16"/>
        <v>560000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8"/>
      <c r="X183" s="28"/>
      <c r="Y183" s="28"/>
    </row>
    <row r="184" spans="1:25" s="66" customFormat="1" ht="16.5" thickBot="1" x14ac:dyDescent="0.3">
      <c r="A184" s="60"/>
      <c r="B184" s="70"/>
      <c r="C184" s="73"/>
      <c r="D184" s="73"/>
      <c r="E184" s="73"/>
      <c r="F184" s="73"/>
      <c r="G184" s="73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65"/>
      <c r="X184" s="65"/>
      <c r="Y184" s="65"/>
    </row>
    <row r="185" spans="1:25" ht="16.5" thickBot="1" x14ac:dyDescent="0.3">
      <c r="A185" s="60"/>
      <c r="B185" s="61"/>
      <c r="C185" s="59"/>
      <c r="D185" s="62"/>
      <c r="E185" s="63"/>
      <c r="F185" s="64"/>
      <c r="G185" s="64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6.5" thickBot="1" x14ac:dyDescent="0.3">
      <c r="A186" s="23"/>
      <c r="B186" s="24"/>
      <c r="C186" s="57">
        <f>C53+C77+C144+C178+C183</f>
        <v>24999766</v>
      </c>
      <c r="D186" s="25"/>
      <c r="E186" s="57"/>
      <c r="F186" s="25"/>
      <c r="G186" s="57"/>
      <c r="H186" s="25"/>
      <c r="I186" s="25"/>
      <c r="J186" s="25"/>
      <c r="K186" s="25">
        <f>K183+K178+K144+K77+K53</f>
        <v>0</v>
      </c>
      <c r="L186" s="25">
        <f t="shared" ref="L186:P186" si="17">L183+L178+L144+L77+L53</f>
        <v>49200</v>
      </c>
      <c r="M186" s="25">
        <f t="shared" si="17"/>
        <v>92128.320000000007</v>
      </c>
      <c r="N186" s="25">
        <f t="shared" si="17"/>
        <v>0</v>
      </c>
      <c r="O186" s="25">
        <f t="shared" si="17"/>
        <v>94779.18</v>
      </c>
      <c r="P186" s="25">
        <f t="shared" si="17"/>
        <v>194919.47</v>
      </c>
      <c r="Q186" s="25"/>
      <c r="R186" s="25"/>
      <c r="S186" s="25"/>
      <c r="T186" s="25"/>
      <c r="U186" s="25"/>
      <c r="V186" s="25"/>
      <c r="W186" s="28"/>
      <c r="X186" s="28"/>
      <c r="Y186" s="28"/>
    </row>
    <row r="187" spans="1:25" ht="15.75" x14ac:dyDescent="0.25"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5.75" x14ac:dyDescent="0.25"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5.75" x14ac:dyDescent="0.25"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5.75" x14ac:dyDescent="0.25"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5.75" x14ac:dyDescent="0.25"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5.75" x14ac:dyDescent="0.25"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8:25" ht="15.75" x14ac:dyDescent="0.25"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8:25" ht="15.75" x14ac:dyDescent="0.25"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8:25" ht="15.75" x14ac:dyDescent="0.25"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8:25" ht="15.75" x14ac:dyDescent="0.25"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8:25" ht="15.75" x14ac:dyDescent="0.25"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</sheetData>
  <sheetProtection algorithmName="SHA-512" hashValue="4EFmoQeOY7vf8p+U97UbhaugbNcSlgFAh6gsS2RApnDZ0DMcw6kvteUSBO/zWcKjx16EUJ1nHui/jkRbztUUsg==" saltValue="k6Qhq8ltN04tZ6/E15rDC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F0E1-196D-4B3B-B986-2ABBDF2BFB8A}">
  <dimension ref="A1:AK103"/>
  <sheetViews>
    <sheetView workbookViewId="0">
      <selection activeCell="AE24" sqref="AE24"/>
    </sheetView>
  </sheetViews>
  <sheetFormatPr defaultRowHeight="15" x14ac:dyDescent="0.25"/>
  <cols>
    <col min="1" max="1" width="17.28515625" customWidth="1"/>
    <col min="2" max="2" width="40" customWidth="1"/>
    <col min="3" max="3" width="20.42578125" customWidth="1"/>
    <col min="4" max="4" width="12.7109375" customWidth="1"/>
    <col min="5" max="5" width="17.28515625" customWidth="1"/>
    <col min="6" max="6" width="16.140625" customWidth="1"/>
    <col min="7" max="7" width="15.85546875" customWidth="1"/>
    <col min="13" max="13" width="12.5703125" customWidth="1"/>
    <col min="15" max="15" width="14.140625" customWidth="1"/>
    <col min="16" max="16" width="15.42578125" customWidth="1"/>
    <col min="25" max="25" width="13.5703125" customWidth="1"/>
    <col min="27" max="27" width="12.28515625" customWidth="1"/>
    <col min="28" max="28" width="12.85546875" customWidth="1"/>
    <col min="37" max="37" width="11.7109375" customWidth="1"/>
  </cols>
  <sheetData>
    <row r="1" spans="1:37" ht="21" x14ac:dyDescent="0.35">
      <c r="A1" s="1" t="s">
        <v>0</v>
      </c>
      <c r="B1" s="2"/>
      <c r="C1" s="1" t="s">
        <v>399</v>
      </c>
      <c r="D1" s="3"/>
      <c r="E1" s="1"/>
      <c r="F1" s="4"/>
      <c r="G1" s="4"/>
    </row>
    <row r="2" spans="1:37" ht="15.75" x14ac:dyDescent="0.25">
      <c r="A2" s="5" t="s">
        <v>1</v>
      </c>
      <c r="B2" s="2"/>
      <c r="C2" s="6" t="s">
        <v>2</v>
      </c>
      <c r="D2" s="7"/>
      <c r="E2" s="6"/>
      <c r="F2" s="8"/>
      <c r="G2" s="8"/>
    </row>
    <row r="3" spans="1:37" ht="15.75" x14ac:dyDescent="0.25">
      <c r="A3" s="5" t="s">
        <v>3</v>
      </c>
      <c r="B3" s="2"/>
      <c r="C3" s="5">
        <v>5425</v>
      </c>
      <c r="D3" s="9"/>
      <c r="E3" s="5"/>
      <c r="F3" s="8"/>
      <c r="G3" s="8"/>
    </row>
    <row r="4" spans="1:37" ht="15.75" x14ac:dyDescent="0.25">
      <c r="A4" s="5" t="s">
        <v>4</v>
      </c>
      <c r="B4" s="2"/>
      <c r="C4" s="8" t="s">
        <v>5</v>
      </c>
      <c r="D4" s="10"/>
      <c r="E4" s="8"/>
      <c r="F4" s="8"/>
      <c r="G4" s="11"/>
    </row>
    <row r="5" spans="1:37" ht="15.75" x14ac:dyDescent="0.25">
      <c r="A5" s="5" t="s">
        <v>6</v>
      </c>
      <c r="B5" s="2"/>
      <c r="C5" s="8" t="s">
        <v>7</v>
      </c>
      <c r="D5" s="10"/>
      <c r="E5" s="8"/>
      <c r="F5" s="8"/>
      <c r="G5" s="11"/>
    </row>
    <row r="6" spans="1:37" ht="15.75" x14ac:dyDescent="0.25">
      <c r="A6" s="5"/>
      <c r="B6" s="2"/>
      <c r="C6" s="8" t="s">
        <v>8</v>
      </c>
      <c r="D6" s="10"/>
      <c r="E6" s="8"/>
      <c r="F6" s="8"/>
      <c r="G6" s="11"/>
    </row>
    <row r="7" spans="1:37" ht="15.75" x14ac:dyDescent="0.25">
      <c r="A7" s="5" t="s">
        <v>9</v>
      </c>
      <c r="B7" s="2"/>
      <c r="C7" s="8" t="s">
        <v>437</v>
      </c>
      <c r="D7" s="10"/>
      <c r="E7" s="8"/>
      <c r="F7" s="8"/>
      <c r="G7" s="11"/>
    </row>
    <row r="8" spans="1:37" ht="15.75" x14ac:dyDescent="0.25">
      <c r="A8" s="5" t="s">
        <v>10</v>
      </c>
      <c r="B8" s="2"/>
      <c r="C8" s="8" t="s">
        <v>438</v>
      </c>
      <c r="D8" s="10"/>
      <c r="E8" s="8"/>
      <c r="F8" s="8"/>
      <c r="G8" s="11"/>
    </row>
    <row r="9" spans="1:37" ht="16.5" thickBot="1" x14ac:dyDescent="0.3">
      <c r="A9" s="5" t="s">
        <v>11</v>
      </c>
      <c r="B9" s="2"/>
      <c r="C9" s="8" t="s">
        <v>398</v>
      </c>
      <c r="D9" s="10"/>
      <c r="E9" s="8"/>
      <c r="F9" s="8"/>
      <c r="G9" s="11"/>
    </row>
    <row r="10" spans="1:37" ht="45.75" thickBot="1" x14ac:dyDescent="0.3">
      <c r="A10" s="12" t="s">
        <v>12</v>
      </c>
      <c r="B10" s="13" t="s">
        <v>13</v>
      </c>
      <c r="C10" s="13" t="s">
        <v>14</v>
      </c>
      <c r="D10" s="14" t="s">
        <v>15</v>
      </c>
      <c r="E10" s="15" t="s">
        <v>16</v>
      </c>
      <c r="F10" s="16" t="s">
        <v>17</v>
      </c>
      <c r="G10" s="17" t="s">
        <v>18</v>
      </c>
      <c r="H10" s="26" t="s">
        <v>380</v>
      </c>
      <c r="I10" s="26" t="s">
        <v>381</v>
      </c>
      <c r="J10" s="26" t="s">
        <v>382</v>
      </c>
      <c r="K10" s="26" t="s">
        <v>383</v>
      </c>
      <c r="L10" s="26" t="s">
        <v>384</v>
      </c>
      <c r="M10" s="26" t="s">
        <v>385</v>
      </c>
      <c r="N10" s="26" t="s">
        <v>386</v>
      </c>
      <c r="O10" s="26" t="s">
        <v>387</v>
      </c>
      <c r="P10" s="26" t="s">
        <v>388</v>
      </c>
      <c r="Q10" s="26" t="s">
        <v>389</v>
      </c>
      <c r="R10" s="26" t="s">
        <v>390</v>
      </c>
      <c r="S10" s="26" t="s">
        <v>391</v>
      </c>
      <c r="T10" s="26" t="s">
        <v>392</v>
      </c>
      <c r="U10" s="26" t="s">
        <v>393</v>
      </c>
      <c r="V10" s="26" t="s">
        <v>394</v>
      </c>
      <c r="W10" s="26" t="s">
        <v>395</v>
      </c>
      <c r="X10" s="26" t="s">
        <v>396</v>
      </c>
      <c r="Y10" s="26" t="s">
        <v>397</v>
      </c>
      <c r="Z10" s="26" t="s">
        <v>531</v>
      </c>
      <c r="AA10" s="26" t="s">
        <v>532</v>
      </c>
      <c r="AB10" s="26" t="s">
        <v>533</v>
      </c>
      <c r="AC10" s="26" t="s">
        <v>534</v>
      </c>
      <c r="AD10" s="26" t="s">
        <v>535</v>
      </c>
      <c r="AE10" s="26" t="s">
        <v>536</v>
      </c>
      <c r="AF10" s="26" t="s">
        <v>537</v>
      </c>
      <c r="AG10" s="26" t="s">
        <v>538</v>
      </c>
      <c r="AH10" s="26" t="s">
        <v>539</v>
      </c>
      <c r="AI10" s="26" t="s">
        <v>540</v>
      </c>
      <c r="AJ10" s="26" t="s">
        <v>541</v>
      </c>
      <c r="AK10" s="26" t="s">
        <v>542</v>
      </c>
    </row>
    <row r="11" spans="1:37" ht="16.5" thickBot="1" x14ac:dyDescent="0.3">
      <c r="A11" s="18" t="s">
        <v>19</v>
      </c>
      <c r="B11" s="19" t="s">
        <v>20</v>
      </c>
      <c r="C11" s="20"/>
      <c r="D11" s="21"/>
      <c r="E11" s="22">
        <f>C11</f>
        <v>0</v>
      </c>
      <c r="F11" s="22">
        <f t="shared" ref="F11:F42" si="0">SUM(H11:AB11)</f>
        <v>0</v>
      </c>
      <c r="G11" s="22">
        <f t="shared" ref="G11:G42" si="1">E11-(F11+AC11+AD11)</f>
        <v>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37" ht="16.5" thickBot="1" x14ac:dyDescent="0.3">
      <c r="A12" s="18" t="s">
        <v>21</v>
      </c>
      <c r="B12" s="19" t="s">
        <v>22</v>
      </c>
      <c r="C12" s="20"/>
      <c r="D12" s="21"/>
      <c r="E12" s="22">
        <f t="shared" ref="E12:E63" si="2">C12</f>
        <v>0</v>
      </c>
      <c r="F12" s="22">
        <f t="shared" si="0"/>
        <v>0</v>
      </c>
      <c r="G12" s="22">
        <f t="shared" si="1"/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37" ht="16.5" thickBot="1" x14ac:dyDescent="0.3">
      <c r="A13" s="18" t="s">
        <v>45</v>
      </c>
      <c r="B13" s="19" t="s">
        <v>46</v>
      </c>
      <c r="C13" s="20"/>
      <c r="D13" s="21"/>
      <c r="E13" s="22">
        <f t="shared" si="2"/>
        <v>0</v>
      </c>
      <c r="F13" s="22">
        <f t="shared" si="0"/>
        <v>0</v>
      </c>
      <c r="G13" s="22">
        <f t="shared" si="1"/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37" ht="16.5" thickBot="1" x14ac:dyDescent="0.3">
      <c r="A14" s="18" t="s">
        <v>47</v>
      </c>
      <c r="B14" s="19" t="s">
        <v>48</v>
      </c>
      <c r="C14" s="20"/>
      <c r="D14" s="21"/>
      <c r="E14" s="22">
        <f t="shared" si="2"/>
        <v>0</v>
      </c>
      <c r="F14" s="22">
        <f t="shared" si="0"/>
        <v>0</v>
      </c>
      <c r="G14" s="22">
        <f t="shared" si="1"/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37" ht="16.5" thickBot="1" x14ac:dyDescent="0.3">
      <c r="A15" s="18" t="s">
        <v>55</v>
      </c>
      <c r="B15" s="19" t="s">
        <v>56</v>
      </c>
      <c r="C15" s="20"/>
      <c r="D15" s="21"/>
      <c r="E15" s="22">
        <f t="shared" si="2"/>
        <v>0</v>
      </c>
      <c r="F15" s="22">
        <f t="shared" si="0"/>
        <v>0</v>
      </c>
      <c r="G15" s="22">
        <f t="shared" si="1"/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37" ht="16.5" thickBot="1" x14ac:dyDescent="0.3">
      <c r="A16" s="18" t="s">
        <v>59</v>
      </c>
      <c r="B16" s="19" t="s">
        <v>60</v>
      </c>
      <c r="C16" s="20"/>
      <c r="D16" s="21"/>
      <c r="E16" s="22">
        <f t="shared" si="2"/>
        <v>0</v>
      </c>
      <c r="F16" s="22">
        <f t="shared" si="0"/>
        <v>0</v>
      </c>
      <c r="G16" s="22">
        <f t="shared" si="1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6.5" thickBot="1" x14ac:dyDescent="0.3">
      <c r="A17" s="18" t="s">
        <v>61</v>
      </c>
      <c r="B17" s="19" t="s">
        <v>62</v>
      </c>
      <c r="C17" s="20"/>
      <c r="D17" s="21"/>
      <c r="E17" s="22">
        <f t="shared" si="2"/>
        <v>0</v>
      </c>
      <c r="F17" s="22">
        <f t="shared" si="0"/>
        <v>0</v>
      </c>
      <c r="G17" s="22">
        <f t="shared" si="1"/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6.5" thickBot="1" x14ac:dyDescent="0.3">
      <c r="A18" s="18" t="s">
        <v>69</v>
      </c>
      <c r="B18" s="19" t="s">
        <v>70</v>
      </c>
      <c r="C18" s="20"/>
      <c r="D18" s="21"/>
      <c r="E18" s="22">
        <f t="shared" si="2"/>
        <v>0</v>
      </c>
      <c r="F18" s="22">
        <f t="shared" si="0"/>
        <v>0</v>
      </c>
      <c r="G18" s="22">
        <f t="shared" si="1"/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6.5" thickBot="1" x14ac:dyDescent="0.3">
      <c r="A19" s="18" t="s">
        <v>75</v>
      </c>
      <c r="B19" s="19" t="s">
        <v>76</v>
      </c>
      <c r="C19" s="20"/>
      <c r="D19" s="21"/>
      <c r="E19" s="22">
        <f t="shared" si="2"/>
        <v>0</v>
      </c>
      <c r="F19" s="22">
        <f t="shared" si="0"/>
        <v>0</v>
      </c>
      <c r="G19" s="22">
        <f t="shared" si="1"/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thickBot="1" x14ac:dyDescent="0.3">
      <c r="A20" s="18" t="s">
        <v>97</v>
      </c>
      <c r="B20" s="19" t="s">
        <v>98</v>
      </c>
      <c r="C20" s="20"/>
      <c r="D20" s="53" t="s">
        <v>527</v>
      </c>
      <c r="E20" s="22">
        <v>0</v>
      </c>
      <c r="F20" s="22">
        <f t="shared" si="0"/>
        <v>0</v>
      </c>
      <c r="G20" s="22">
        <f t="shared" si="1"/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6.5" thickBot="1" x14ac:dyDescent="0.3">
      <c r="A21" s="18" t="s">
        <v>109</v>
      </c>
      <c r="B21" s="19" t="s">
        <v>110</v>
      </c>
      <c r="C21" s="20"/>
      <c r="D21" s="21"/>
      <c r="E21" s="22">
        <f t="shared" si="2"/>
        <v>0</v>
      </c>
      <c r="F21" s="22">
        <f t="shared" si="0"/>
        <v>0</v>
      </c>
      <c r="G21" s="22">
        <f t="shared" si="1"/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6.5" thickBot="1" x14ac:dyDescent="0.3">
      <c r="A22" s="18" t="s">
        <v>113</v>
      </c>
      <c r="B22" s="19" t="s">
        <v>114</v>
      </c>
      <c r="C22" s="20"/>
      <c r="D22" s="21"/>
      <c r="E22" s="22">
        <f t="shared" si="2"/>
        <v>0</v>
      </c>
      <c r="F22" s="22">
        <f t="shared" si="0"/>
        <v>0</v>
      </c>
      <c r="G22" s="22">
        <f t="shared" si="1"/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6.5" thickBot="1" x14ac:dyDescent="0.3">
      <c r="A23" s="18" t="s">
        <v>121</v>
      </c>
      <c r="B23" s="19" t="s">
        <v>122</v>
      </c>
      <c r="C23" s="20"/>
      <c r="D23" s="21"/>
      <c r="E23" s="22">
        <f t="shared" si="2"/>
        <v>0</v>
      </c>
      <c r="F23" s="22">
        <f t="shared" si="0"/>
        <v>0</v>
      </c>
      <c r="G23" s="22">
        <f t="shared" si="1"/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6.5" thickBot="1" x14ac:dyDescent="0.3">
      <c r="A24" s="18" t="s">
        <v>123</v>
      </c>
      <c r="B24" s="19" t="s">
        <v>124</v>
      </c>
      <c r="C24" s="20"/>
      <c r="D24" s="21"/>
      <c r="E24" s="22">
        <f t="shared" si="2"/>
        <v>0</v>
      </c>
      <c r="F24" s="22">
        <f t="shared" si="0"/>
        <v>0</v>
      </c>
      <c r="G24" s="22">
        <f t="shared" si="1"/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thickBot="1" x14ac:dyDescent="0.3">
      <c r="A25" s="18" t="s">
        <v>151</v>
      </c>
      <c r="B25" s="19" t="s">
        <v>152</v>
      </c>
      <c r="C25" s="20"/>
      <c r="D25" s="21"/>
      <c r="E25" s="22">
        <f t="shared" si="2"/>
        <v>0</v>
      </c>
      <c r="F25" s="22">
        <f t="shared" si="0"/>
        <v>0</v>
      </c>
      <c r="G25" s="22">
        <f t="shared" si="1"/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6.5" thickBot="1" x14ac:dyDescent="0.3">
      <c r="A26" s="18" t="s">
        <v>153</v>
      </c>
      <c r="B26" s="19" t="s">
        <v>154</v>
      </c>
      <c r="C26" s="20"/>
      <c r="D26" s="21"/>
      <c r="E26" s="22">
        <f t="shared" si="2"/>
        <v>0</v>
      </c>
      <c r="F26" s="22">
        <f t="shared" si="0"/>
        <v>0</v>
      </c>
      <c r="G26" s="22">
        <f t="shared" si="1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6.5" thickBot="1" x14ac:dyDescent="0.3">
      <c r="A27" s="18" t="s">
        <v>155</v>
      </c>
      <c r="B27" s="19" t="s">
        <v>156</v>
      </c>
      <c r="C27" s="20"/>
      <c r="D27" s="21"/>
      <c r="E27" s="22">
        <f t="shared" si="2"/>
        <v>0</v>
      </c>
      <c r="F27" s="22">
        <f t="shared" si="0"/>
        <v>0</v>
      </c>
      <c r="G27" s="22">
        <f t="shared" si="1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6.5" thickBot="1" x14ac:dyDescent="0.3">
      <c r="A28" s="18" t="s">
        <v>173</v>
      </c>
      <c r="B28" s="19" t="s">
        <v>174</v>
      </c>
      <c r="C28" s="20"/>
      <c r="D28" s="21"/>
      <c r="E28" s="22">
        <f t="shared" si="2"/>
        <v>0</v>
      </c>
      <c r="F28" s="22">
        <f t="shared" si="0"/>
        <v>0</v>
      </c>
      <c r="G28" s="22">
        <f t="shared" si="1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thickBot="1" x14ac:dyDescent="0.3">
      <c r="A29" s="18" t="s">
        <v>175</v>
      </c>
      <c r="B29" s="19" t="s">
        <v>176</v>
      </c>
      <c r="C29" s="20"/>
      <c r="D29" s="21"/>
      <c r="E29" s="22">
        <f t="shared" si="2"/>
        <v>0</v>
      </c>
      <c r="F29" s="22">
        <f t="shared" si="0"/>
        <v>0</v>
      </c>
      <c r="G29" s="22">
        <f t="shared" si="1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thickBot="1" x14ac:dyDescent="0.3">
      <c r="A30" s="18" t="s">
        <v>177</v>
      </c>
      <c r="B30" s="19" t="s">
        <v>178</v>
      </c>
      <c r="C30" s="20"/>
      <c r="D30" s="21"/>
      <c r="E30" s="22">
        <f t="shared" si="2"/>
        <v>0</v>
      </c>
      <c r="F30" s="22">
        <f t="shared" si="0"/>
        <v>0</v>
      </c>
      <c r="G30" s="22">
        <f t="shared" si="1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6.5" thickBot="1" x14ac:dyDescent="0.3">
      <c r="A31" s="18" t="s">
        <v>181</v>
      </c>
      <c r="B31" s="19" t="s">
        <v>182</v>
      </c>
      <c r="C31" s="20"/>
      <c r="D31" s="21"/>
      <c r="E31" s="22">
        <f t="shared" si="2"/>
        <v>0</v>
      </c>
      <c r="F31" s="22">
        <f t="shared" si="0"/>
        <v>0</v>
      </c>
      <c r="G31" s="22">
        <f t="shared" si="1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.5" thickBot="1" x14ac:dyDescent="0.3">
      <c r="A32" s="18" t="s">
        <v>185</v>
      </c>
      <c r="B32" s="19" t="s">
        <v>186</v>
      </c>
      <c r="C32" s="20"/>
      <c r="D32" s="21"/>
      <c r="E32" s="22">
        <f t="shared" si="2"/>
        <v>0</v>
      </c>
      <c r="F32" s="22">
        <f t="shared" si="0"/>
        <v>0</v>
      </c>
      <c r="G32" s="22">
        <f t="shared" si="1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6.5" thickBot="1" x14ac:dyDescent="0.3">
      <c r="A33" s="18" t="s">
        <v>191</v>
      </c>
      <c r="B33" s="19" t="s">
        <v>192</v>
      </c>
      <c r="C33" s="20"/>
      <c r="D33" s="21"/>
      <c r="E33" s="22">
        <f t="shared" si="2"/>
        <v>0</v>
      </c>
      <c r="F33" s="22">
        <f t="shared" si="0"/>
        <v>0</v>
      </c>
      <c r="G33" s="22">
        <f t="shared" si="1"/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6.5" thickBot="1" x14ac:dyDescent="0.3">
      <c r="A34" s="18" t="s">
        <v>193</v>
      </c>
      <c r="B34" s="19" t="s">
        <v>194</v>
      </c>
      <c r="C34" s="20"/>
      <c r="D34" s="21"/>
      <c r="E34" s="22">
        <f t="shared" si="2"/>
        <v>0</v>
      </c>
      <c r="F34" s="22">
        <f t="shared" si="0"/>
        <v>0</v>
      </c>
      <c r="G34" s="22">
        <f t="shared" si="1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thickBot="1" x14ac:dyDescent="0.3">
      <c r="A35" s="18" t="s">
        <v>195</v>
      </c>
      <c r="B35" s="19" t="s">
        <v>196</v>
      </c>
      <c r="C35" s="20"/>
      <c r="D35" s="21"/>
      <c r="E35" s="22">
        <f t="shared" si="2"/>
        <v>0</v>
      </c>
      <c r="F35" s="22">
        <f t="shared" si="0"/>
        <v>0</v>
      </c>
      <c r="G35" s="22">
        <f t="shared" si="1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6.5" thickBot="1" x14ac:dyDescent="0.3">
      <c r="A36" s="18" t="s">
        <v>211</v>
      </c>
      <c r="B36" s="19" t="s">
        <v>212</v>
      </c>
      <c r="C36" s="20"/>
      <c r="D36" s="21"/>
      <c r="E36" s="22">
        <f t="shared" si="2"/>
        <v>0</v>
      </c>
      <c r="F36" s="22">
        <f t="shared" si="0"/>
        <v>0</v>
      </c>
      <c r="G36" s="22">
        <f t="shared" si="1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thickBot="1" x14ac:dyDescent="0.3">
      <c r="A37" s="18" t="s">
        <v>213</v>
      </c>
      <c r="B37" s="19" t="s">
        <v>214</v>
      </c>
      <c r="C37" s="20"/>
      <c r="D37" s="21"/>
      <c r="E37" s="22">
        <f t="shared" si="2"/>
        <v>0</v>
      </c>
      <c r="F37" s="22">
        <f t="shared" si="0"/>
        <v>0</v>
      </c>
      <c r="G37" s="22">
        <f t="shared" si="1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6.5" thickBot="1" x14ac:dyDescent="0.3">
      <c r="A38" s="18" t="s">
        <v>219</v>
      </c>
      <c r="B38" s="19" t="s">
        <v>220</v>
      </c>
      <c r="C38" s="20"/>
      <c r="D38" s="21"/>
      <c r="E38" s="22">
        <f t="shared" si="2"/>
        <v>0</v>
      </c>
      <c r="F38" s="22">
        <f t="shared" si="0"/>
        <v>0</v>
      </c>
      <c r="G38" s="22">
        <f t="shared" si="1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6.5" thickBot="1" x14ac:dyDescent="0.3">
      <c r="A39" s="18" t="s">
        <v>223</v>
      </c>
      <c r="B39" s="19" t="s">
        <v>224</v>
      </c>
      <c r="C39" s="20"/>
      <c r="D39" s="21"/>
      <c r="E39" s="22">
        <f t="shared" si="2"/>
        <v>0</v>
      </c>
      <c r="F39" s="22">
        <f t="shared" si="0"/>
        <v>0</v>
      </c>
      <c r="G39" s="22">
        <f t="shared" si="1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6.5" thickBot="1" x14ac:dyDescent="0.3">
      <c r="A40" s="18" t="s">
        <v>227</v>
      </c>
      <c r="B40" s="19" t="s">
        <v>228</v>
      </c>
      <c r="C40" s="20"/>
      <c r="D40" s="21"/>
      <c r="E40" s="22">
        <f t="shared" si="2"/>
        <v>0</v>
      </c>
      <c r="F40" s="22">
        <f t="shared" si="0"/>
        <v>0</v>
      </c>
      <c r="G40" s="22">
        <f t="shared" si="1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6.5" thickBot="1" x14ac:dyDescent="0.3">
      <c r="A41" s="18" t="s">
        <v>229</v>
      </c>
      <c r="B41" s="19" t="s">
        <v>230</v>
      </c>
      <c r="C41" s="20"/>
      <c r="D41" s="21"/>
      <c r="E41" s="22">
        <f t="shared" si="2"/>
        <v>0</v>
      </c>
      <c r="F41" s="22">
        <f t="shared" si="0"/>
        <v>0</v>
      </c>
      <c r="G41" s="22">
        <f t="shared" si="1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6.5" thickBot="1" x14ac:dyDescent="0.3">
      <c r="A42" s="18" t="s">
        <v>231</v>
      </c>
      <c r="B42" s="19" t="s">
        <v>232</v>
      </c>
      <c r="C42" s="20"/>
      <c r="D42" s="21"/>
      <c r="E42" s="22">
        <f t="shared" si="2"/>
        <v>0</v>
      </c>
      <c r="F42" s="22">
        <f t="shared" si="0"/>
        <v>0</v>
      </c>
      <c r="G42" s="22">
        <f t="shared" si="1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6.5" thickBot="1" x14ac:dyDescent="0.3">
      <c r="A43" s="18" t="s">
        <v>235</v>
      </c>
      <c r="B43" s="19" t="s">
        <v>236</v>
      </c>
      <c r="C43" s="20"/>
      <c r="D43" s="21"/>
      <c r="E43" s="22">
        <f t="shared" si="2"/>
        <v>0</v>
      </c>
      <c r="F43" s="22">
        <f t="shared" ref="F43:F63" si="3">SUM(H43:AB43)</f>
        <v>0</v>
      </c>
      <c r="G43" s="22">
        <f t="shared" ref="G43:G63" si="4">E43-(F43+AC43+AD43)</f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6.5" thickBot="1" x14ac:dyDescent="0.3">
      <c r="A44" s="18" t="s">
        <v>237</v>
      </c>
      <c r="B44" s="19" t="s">
        <v>238</v>
      </c>
      <c r="C44" s="20"/>
      <c r="D44" s="21"/>
      <c r="E44" s="22">
        <f t="shared" si="2"/>
        <v>0</v>
      </c>
      <c r="F44" s="22">
        <f t="shared" si="3"/>
        <v>0</v>
      </c>
      <c r="G44" s="22">
        <f t="shared" si="4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6.5" thickBot="1" x14ac:dyDescent="0.3">
      <c r="A45" s="18" t="s">
        <v>239</v>
      </c>
      <c r="B45" s="19" t="s">
        <v>240</v>
      </c>
      <c r="C45" s="20"/>
      <c r="D45" s="21"/>
      <c r="E45" s="22">
        <f t="shared" si="2"/>
        <v>0</v>
      </c>
      <c r="F45" s="22">
        <f t="shared" si="3"/>
        <v>0</v>
      </c>
      <c r="G45" s="22">
        <f t="shared" si="4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6.5" thickBot="1" x14ac:dyDescent="0.3">
      <c r="A46" s="18" t="s">
        <v>245</v>
      </c>
      <c r="B46" s="19" t="s">
        <v>246</v>
      </c>
      <c r="C46" s="20"/>
      <c r="D46" s="21"/>
      <c r="E46" s="22">
        <f t="shared" si="2"/>
        <v>0</v>
      </c>
      <c r="F46" s="22">
        <f t="shared" si="3"/>
        <v>0</v>
      </c>
      <c r="G46" s="22">
        <f t="shared" si="4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thickBot="1" x14ac:dyDescent="0.3">
      <c r="A47" s="18" t="s">
        <v>249</v>
      </c>
      <c r="B47" s="19" t="s">
        <v>250</v>
      </c>
      <c r="C47" s="20"/>
      <c r="D47" s="21"/>
      <c r="E47" s="22">
        <f t="shared" si="2"/>
        <v>0</v>
      </c>
      <c r="F47" s="22">
        <f t="shared" si="3"/>
        <v>0</v>
      </c>
      <c r="G47" s="22">
        <f t="shared" si="4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6.5" thickBot="1" x14ac:dyDescent="0.3">
      <c r="A48" s="18" t="s">
        <v>251</v>
      </c>
      <c r="B48" s="19" t="s">
        <v>252</v>
      </c>
      <c r="C48" s="20"/>
      <c r="D48" s="21"/>
      <c r="E48" s="22">
        <f t="shared" si="2"/>
        <v>0</v>
      </c>
      <c r="F48" s="22">
        <f t="shared" si="3"/>
        <v>0</v>
      </c>
      <c r="G48" s="22">
        <f t="shared" si="4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6.5" thickBot="1" x14ac:dyDescent="0.3">
      <c r="A49" s="18" t="s">
        <v>253</v>
      </c>
      <c r="B49" s="19" t="s">
        <v>254</v>
      </c>
      <c r="C49" s="20"/>
      <c r="D49" s="21"/>
      <c r="E49" s="22">
        <f t="shared" si="2"/>
        <v>0</v>
      </c>
      <c r="F49" s="22">
        <f t="shared" si="3"/>
        <v>0</v>
      </c>
      <c r="G49" s="22">
        <f t="shared" si="4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6.5" thickBot="1" x14ac:dyDescent="0.3">
      <c r="A50" s="18" t="s">
        <v>293</v>
      </c>
      <c r="B50" s="19" t="s">
        <v>294</v>
      </c>
      <c r="C50" s="20"/>
      <c r="D50" s="21"/>
      <c r="E50" s="22">
        <f t="shared" si="2"/>
        <v>0</v>
      </c>
      <c r="F50" s="22">
        <f t="shared" si="3"/>
        <v>0</v>
      </c>
      <c r="G50" s="22">
        <f t="shared" si="4"/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6.5" thickBot="1" x14ac:dyDescent="0.3">
      <c r="A51" s="18" t="s">
        <v>317</v>
      </c>
      <c r="B51" s="19" t="s">
        <v>318</v>
      </c>
      <c r="C51" s="20"/>
      <c r="D51" s="21"/>
      <c r="E51" s="22">
        <f t="shared" si="2"/>
        <v>0</v>
      </c>
      <c r="F51" s="22">
        <f t="shared" si="3"/>
        <v>0</v>
      </c>
      <c r="G51" s="22">
        <f t="shared" si="4"/>
        <v>0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6.5" thickBot="1" x14ac:dyDescent="0.3">
      <c r="A52" s="18" t="s">
        <v>323</v>
      </c>
      <c r="B52" s="19" t="s">
        <v>324</v>
      </c>
      <c r="C52" s="20"/>
      <c r="D52" s="21"/>
      <c r="E52" s="22">
        <f t="shared" si="2"/>
        <v>0</v>
      </c>
      <c r="F52" s="22">
        <f t="shared" si="3"/>
        <v>0</v>
      </c>
      <c r="G52" s="22">
        <f t="shared" si="4"/>
        <v>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6.5" thickBot="1" x14ac:dyDescent="0.3">
      <c r="A53" s="18" t="s">
        <v>325</v>
      </c>
      <c r="B53" s="19" t="s">
        <v>326</v>
      </c>
      <c r="C53" s="20"/>
      <c r="D53" s="21"/>
      <c r="E53" s="22">
        <f t="shared" si="2"/>
        <v>0</v>
      </c>
      <c r="F53" s="22">
        <f t="shared" si="3"/>
        <v>0</v>
      </c>
      <c r="G53" s="22">
        <f t="shared" si="4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6.5" thickBot="1" x14ac:dyDescent="0.3">
      <c r="A54" s="18" t="s">
        <v>335</v>
      </c>
      <c r="B54" s="19" t="s">
        <v>336</v>
      </c>
      <c r="C54" s="20"/>
      <c r="D54" s="21"/>
      <c r="E54" s="22">
        <f t="shared" si="2"/>
        <v>0</v>
      </c>
      <c r="F54" s="22">
        <f t="shared" si="3"/>
        <v>0</v>
      </c>
      <c r="G54" s="22">
        <f t="shared" si="4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6.5" thickBot="1" x14ac:dyDescent="0.3">
      <c r="A55" s="18" t="s">
        <v>337</v>
      </c>
      <c r="B55" s="19" t="s">
        <v>338</v>
      </c>
      <c r="C55" s="20"/>
      <c r="D55" s="21"/>
      <c r="E55" s="22">
        <f t="shared" si="2"/>
        <v>0</v>
      </c>
      <c r="F55" s="22">
        <f t="shared" si="3"/>
        <v>0</v>
      </c>
      <c r="G55" s="22">
        <f t="shared" si="4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6.5" thickBot="1" x14ac:dyDescent="0.3">
      <c r="A56" s="18" t="s">
        <v>339</v>
      </c>
      <c r="B56" s="19" t="s">
        <v>340</v>
      </c>
      <c r="C56" s="20"/>
      <c r="D56" s="21"/>
      <c r="E56" s="22">
        <f t="shared" si="2"/>
        <v>0</v>
      </c>
      <c r="F56" s="22">
        <f t="shared" si="3"/>
        <v>0</v>
      </c>
      <c r="G56" s="22">
        <f t="shared" si="4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6.5" thickBot="1" x14ac:dyDescent="0.3">
      <c r="A57" s="18" t="s">
        <v>341</v>
      </c>
      <c r="B57" s="19" t="s">
        <v>342</v>
      </c>
      <c r="C57" s="20"/>
      <c r="D57" s="21"/>
      <c r="E57" s="22">
        <f t="shared" si="2"/>
        <v>0</v>
      </c>
      <c r="F57" s="22">
        <f t="shared" si="3"/>
        <v>0</v>
      </c>
      <c r="G57" s="22">
        <f t="shared" si="4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6.5" thickBot="1" x14ac:dyDescent="0.3">
      <c r="A58" s="18" t="s">
        <v>355</v>
      </c>
      <c r="B58" s="19" t="s">
        <v>356</v>
      </c>
      <c r="C58" s="20"/>
      <c r="D58" s="21"/>
      <c r="E58" s="22">
        <f t="shared" si="2"/>
        <v>0</v>
      </c>
      <c r="F58" s="22">
        <f t="shared" si="3"/>
        <v>0</v>
      </c>
      <c r="G58" s="22">
        <f t="shared" si="4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6.5" thickBot="1" x14ac:dyDescent="0.3">
      <c r="A59" s="18" t="s">
        <v>361</v>
      </c>
      <c r="B59" s="19" t="s">
        <v>362</v>
      </c>
      <c r="C59" s="20"/>
      <c r="D59" s="21"/>
      <c r="E59" s="22">
        <f t="shared" si="2"/>
        <v>0</v>
      </c>
      <c r="F59" s="22">
        <f t="shared" si="3"/>
        <v>0</v>
      </c>
      <c r="G59" s="22">
        <f t="shared" si="4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6.5" thickBot="1" x14ac:dyDescent="0.3">
      <c r="A60" s="18" t="s">
        <v>363</v>
      </c>
      <c r="B60" s="19" t="s">
        <v>364</v>
      </c>
      <c r="C60" s="20"/>
      <c r="D60" s="21"/>
      <c r="E60" s="22">
        <f t="shared" si="2"/>
        <v>0</v>
      </c>
      <c r="F60" s="22">
        <f t="shared" si="3"/>
        <v>0</v>
      </c>
      <c r="G60" s="22">
        <f t="shared" si="4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6.5" thickBot="1" x14ac:dyDescent="0.3">
      <c r="A61" s="18" t="s">
        <v>365</v>
      </c>
      <c r="B61" s="19" t="s">
        <v>366</v>
      </c>
      <c r="C61" s="20"/>
      <c r="D61" s="21"/>
      <c r="E61" s="22">
        <f t="shared" si="2"/>
        <v>0</v>
      </c>
      <c r="F61" s="22">
        <f t="shared" si="3"/>
        <v>0</v>
      </c>
      <c r="G61" s="22">
        <f t="shared" si="4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6.5" thickBot="1" x14ac:dyDescent="0.3">
      <c r="A62" s="18" t="s">
        <v>371</v>
      </c>
      <c r="B62" s="19" t="s">
        <v>372</v>
      </c>
      <c r="C62" s="20"/>
      <c r="D62" s="21"/>
      <c r="E62" s="22">
        <f t="shared" si="2"/>
        <v>0</v>
      </c>
      <c r="F62" s="22">
        <f t="shared" si="3"/>
        <v>0</v>
      </c>
      <c r="G62" s="22">
        <f t="shared" si="4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6.5" thickBot="1" x14ac:dyDescent="0.3">
      <c r="A63" s="18" t="s">
        <v>373</v>
      </c>
      <c r="B63" s="19" t="s">
        <v>374</v>
      </c>
      <c r="C63" s="32"/>
      <c r="D63" s="33"/>
      <c r="E63" s="34">
        <f t="shared" si="2"/>
        <v>0</v>
      </c>
      <c r="F63" s="34">
        <f t="shared" si="3"/>
        <v>0</v>
      </c>
      <c r="G63" s="34">
        <f t="shared" si="4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6.5" thickBot="1" x14ac:dyDescent="0.3">
      <c r="A64" s="18"/>
      <c r="B64" s="29" t="s">
        <v>400</v>
      </c>
      <c r="C64" s="35">
        <f>SUM(C11:C63)</f>
        <v>0</v>
      </c>
      <c r="D64" s="30"/>
      <c r="E64" s="35">
        <f t="shared" ref="E64:G64" si="5">SUM(E11:E63)</f>
        <v>0</v>
      </c>
      <c r="F64" s="35">
        <f t="shared" si="5"/>
        <v>0</v>
      </c>
      <c r="G64" s="35">
        <f t="shared" si="5"/>
        <v>0</v>
      </c>
      <c r="H64" s="25">
        <f t="shared" ref="H64:P64" si="6">SUM(H11:H63)</f>
        <v>0</v>
      </c>
      <c r="I64" s="25">
        <f t="shared" si="6"/>
        <v>0</v>
      </c>
      <c r="J64" s="25">
        <f t="shared" si="6"/>
        <v>0</v>
      </c>
      <c r="K64" s="25">
        <f t="shared" si="6"/>
        <v>0</v>
      </c>
      <c r="L64" s="25">
        <f t="shared" si="6"/>
        <v>0</v>
      </c>
      <c r="M64" s="25">
        <f t="shared" si="6"/>
        <v>0</v>
      </c>
      <c r="N64" s="25">
        <f t="shared" si="6"/>
        <v>0</v>
      </c>
      <c r="O64" s="25">
        <f t="shared" si="6"/>
        <v>0</v>
      </c>
      <c r="P64" s="25">
        <f t="shared" si="6"/>
        <v>0</v>
      </c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6.5" thickBot="1" x14ac:dyDescent="0.3">
      <c r="A65" s="18"/>
      <c r="B65" s="19"/>
      <c r="C65" s="20"/>
      <c r="D65" s="21"/>
      <c r="E65" s="22"/>
      <c r="F65" s="22"/>
      <c r="G65" s="3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6.5" thickBot="1" x14ac:dyDescent="0.3">
      <c r="A66" s="18" t="s">
        <v>439</v>
      </c>
      <c r="B66" s="19" t="s">
        <v>401</v>
      </c>
      <c r="C66" s="20"/>
      <c r="D66" s="21"/>
      <c r="E66" s="22">
        <f>C66</f>
        <v>0</v>
      </c>
      <c r="F66" s="22"/>
      <c r="G66" s="34">
        <f>E66-(F66+AC66+AD66)</f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6.5" thickBot="1" x14ac:dyDescent="0.3">
      <c r="A67" s="18"/>
      <c r="B67" s="19" t="s">
        <v>402</v>
      </c>
      <c r="C67" s="32"/>
      <c r="D67" s="33"/>
      <c r="E67" s="34">
        <f>C67</f>
        <v>0</v>
      </c>
      <c r="F67" s="34"/>
      <c r="G67" s="34">
        <f>E67-(F67+AC67+AD67)</f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6.5" thickBot="1" x14ac:dyDescent="0.3">
      <c r="A68" s="18"/>
      <c r="B68" s="29" t="s">
        <v>400</v>
      </c>
      <c r="C68" s="35">
        <f>SUM(C66:C67)</f>
        <v>0</v>
      </c>
      <c r="D68" s="37"/>
      <c r="E68" s="38">
        <f>SUM(E66:E67)</f>
        <v>0</v>
      </c>
      <c r="F68" s="38">
        <f t="shared" ref="F68" si="7">SUM(F66:F67)</f>
        <v>0</v>
      </c>
      <c r="G68" s="36">
        <f>E68-(F68+AC68+AD68)</f>
        <v>0</v>
      </c>
      <c r="H68" s="25">
        <f t="shared" ref="H68:P68" si="8">H66+H67</f>
        <v>0</v>
      </c>
      <c r="I68" s="25">
        <f t="shared" si="8"/>
        <v>0</v>
      </c>
      <c r="J68" s="25">
        <f t="shared" si="8"/>
        <v>0</v>
      </c>
      <c r="K68" s="25">
        <f t="shared" si="8"/>
        <v>0</v>
      </c>
      <c r="L68" s="25">
        <f t="shared" si="8"/>
        <v>0</v>
      </c>
      <c r="M68" s="25">
        <f t="shared" si="8"/>
        <v>0</v>
      </c>
      <c r="N68" s="25">
        <f t="shared" si="8"/>
        <v>0</v>
      </c>
      <c r="O68" s="25">
        <f t="shared" si="8"/>
        <v>0</v>
      </c>
      <c r="P68" s="25">
        <f t="shared" si="8"/>
        <v>0</v>
      </c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6.5" thickBot="1" x14ac:dyDescent="0.3">
      <c r="A69" s="18"/>
      <c r="B69" s="29"/>
      <c r="C69" s="35"/>
      <c r="D69" s="37"/>
      <c r="E69" s="38"/>
      <c r="F69" s="38"/>
      <c r="G69" s="34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6.5" thickBot="1" x14ac:dyDescent="0.3">
      <c r="A70" s="18" t="s">
        <v>403</v>
      </c>
      <c r="B70" s="19" t="s">
        <v>404</v>
      </c>
      <c r="C70" s="30"/>
      <c r="D70" s="37"/>
      <c r="E70" s="31">
        <f>C70</f>
        <v>0</v>
      </c>
      <c r="F70" s="31">
        <f t="shared" ref="F70:F86" si="9">SUM(H70:X70)</f>
        <v>0</v>
      </c>
      <c r="G70" s="34">
        <f t="shared" ref="G70:G86" si="10">E70-(F70+AC70+AD70)</f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6.5" thickBot="1" x14ac:dyDescent="0.3">
      <c r="A71" s="54" t="s">
        <v>406</v>
      </c>
      <c r="B71" s="19" t="s">
        <v>407</v>
      </c>
      <c r="C71" s="30"/>
      <c r="D71" s="37"/>
      <c r="E71" s="31">
        <f t="shared" ref="E71:E86" si="11">C71</f>
        <v>0</v>
      </c>
      <c r="F71" s="31">
        <f t="shared" si="9"/>
        <v>0</v>
      </c>
      <c r="G71" s="34">
        <f t="shared" si="10"/>
        <v>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6.5" thickBot="1" x14ac:dyDescent="0.3">
      <c r="A72" s="18" t="s">
        <v>408</v>
      </c>
      <c r="B72" s="19" t="s">
        <v>409</v>
      </c>
      <c r="C72" s="30"/>
      <c r="D72" s="37"/>
      <c r="E72" s="31">
        <f t="shared" si="11"/>
        <v>0</v>
      </c>
      <c r="F72" s="31">
        <f t="shared" si="9"/>
        <v>0</v>
      </c>
      <c r="G72" s="34">
        <f t="shared" si="10"/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6.5" thickBot="1" x14ac:dyDescent="0.3">
      <c r="A73" s="54" t="s">
        <v>405</v>
      </c>
      <c r="B73" s="19" t="s">
        <v>410</v>
      </c>
      <c r="C73" s="30"/>
      <c r="D73" s="37"/>
      <c r="E73" s="31">
        <f t="shared" si="11"/>
        <v>0</v>
      </c>
      <c r="F73" s="31">
        <f t="shared" si="9"/>
        <v>0</v>
      </c>
      <c r="G73" s="34">
        <f t="shared" si="10"/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6.5" thickBot="1" x14ac:dyDescent="0.3">
      <c r="A74" s="18" t="s">
        <v>411</v>
      </c>
      <c r="B74" s="19" t="s">
        <v>412</v>
      </c>
      <c r="C74" s="30"/>
      <c r="D74" s="37"/>
      <c r="E74" s="31">
        <f t="shared" si="11"/>
        <v>0</v>
      </c>
      <c r="F74" s="31">
        <f t="shared" si="9"/>
        <v>0</v>
      </c>
      <c r="G74" s="34">
        <f t="shared" si="1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thickBot="1" x14ac:dyDescent="0.3">
      <c r="A75" s="18" t="s">
        <v>413</v>
      </c>
      <c r="B75" s="19" t="s">
        <v>414</v>
      </c>
      <c r="C75" s="30"/>
      <c r="D75" s="37"/>
      <c r="E75" s="31">
        <f t="shared" si="11"/>
        <v>0</v>
      </c>
      <c r="F75" s="31">
        <f t="shared" si="9"/>
        <v>0</v>
      </c>
      <c r="G75" s="34">
        <f t="shared" si="10"/>
        <v>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thickBot="1" x14ac:dyDescent="0.3">
      <c r="A76" s="18" t="s">
        <v>415</v>
      </c>
      <c r="B76" s="19" t="s">
        <v>416</v>
      </c>
      <c r="C76" s="30"/>
      <c r="D76" s="37"/>
      <c r="E76" s="31">
        <f t="shared" si="11"/>
        <v>0</v>
      </c>
      <c r="F76" s="31">
        <f t="shared" si="9"/>
        <v>0</v>
      </c>
      <c r="G76" s="34">
        <f t="shared" si="10"/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thickBot="1" x14ac:dyDescent="0.3">
      <c r="A77" s="18" t="s">
        <v>417</v>
      </c>
      <c r="B77" s="19" t="s">
        <v>418</v>
      </c>
      <c r="C77" s="30"/>
      <c r="D77" s="37"/>
      <c r="E77" s="31">
        <f t="shared" si="11"/>
        <v>0</v>
      </c>
      <c r="F77" s="31">
        <f t="shared" si="9"/>
        <v>0</v>
      </c>
      <c r="G77" s="34">
        <f t="shared" si="10"/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6.5" thickBot="1" x14ac:dyDescent="0.3">
      <c r="A78" s="18" t="s">
        <v>419</v>
      </c>
      <c r="B78" s="19" t="s">
        <v>420</v>
      </c>
      <c r="C78" s="30"/>
      <c r="D78" s="37"/>
      <c r="E78" s="31">
        <f t="shared" si="11"/>
        <v>0</v>
      </c>
      <c r="F78" s="31">
        <f t="shared" si="9"/>
        <v>0</v>
      </c>
      <c r="G78" s="34">
        <f t="shared" si="1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6.5" thickBot="1" x14ac:dyDescent="0.3">
      <c r="A79" s="18" t="s">
        <v>421</v>
      </c>
      <c r="B79" s="19" t="s">
        <v>422</v>
      </c>
      <c r="C79" s="30"/>
      <c r="D79" s="37"/>
      <c r="E79" s="31">
        <f t="shared" si="11"/>
        <v>0</v>
      </c>
      <c r="F79" s="31">
        <f t="shared" si="9"/>
        <v>0</v>
      </c>
      <c r="G79" s="34">
        <f t="shared" si="1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6.5" thickBot="1" x14ac:dyDescent="0.3">
      <c r="A80" s="18" t="s">
        <v>423</v>
      </c>
      <c r="B80" s="19" t="s">
        <v>424</v>
      </c>
      <c r="C80" s="30"/>
      <c r="D80" s="37"/>
      <c r="E80" s="31">
        <f t="shared" si="11"/>
        <v>0</v>
      </c>
      <c r="F80" s="31">
        <f t="shared" si="9"/>
        <v>0</v>
      </c>
      <c r="G80" s="34">
        <f t="shared" si="1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6.5" thickBot="1" x14ac:dyDescent="0.3">
      <c r="A81" s="18" t="s">
        <v>425</v>
      </c>
      <c r="B81" s="19" t="s">
        <v>426</v>
      </c>
      <c r="C81" s="30"/>
      <c r="D81" s="37"/>
      <c r="E81" s="31">
        <f t="shared" si="11"/>
        <v>0</v>
      </c>
      <c r="F81" s="31">
        <f t="shared" si="9"/>
        <v>0</v>
      </c>
      <c r="G81" s="34">
        <f t="shared" si="10"/>
        <v>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6.5" thickBot="1" x14ac:dyDescent="0.3">
      <c r="A82" s="18" t="s">
        <v>427</v>
      </c>
      <c r="B82" s="19" t="s">
        <v>428</v>
      </c>
      <c r="C82" s="30"/>
      <c r="D82" s="37"/>
      <c r="E82" s="31">
        <f t="shared" si="11"/>
        <v>0</v>
      </c>
      <c r="F82" s="31">
        <f t="shared" si="9"/>
        <v>0</v>
      </c>
      <c r="G82" s="34">
        <f t="shared" si="10"/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6.5" thickBot="1" x14ac:dyDescent="0.3">
      <c r="A83" s="18" t="s">
        <v>429</v>
      </c>
      <c r="B83" s="19" t="s">
        <v>430</v>
      </c>
      <c r="C83" s="30"/>
      <c r="D83" s="37"/>
      <c r="E83" s="31">
        <f t="shared" si="11"/>
        <v>0</v>
      </c>
      <c r="F83" s="31">
        <f t="shared" si="9"/>
        <v>0</v>
      </c>
      <c r="G83" s="34">
        <f t="shared" si="10"/>
        <v>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6.5" thickBot="1" x14ac:dyDescent="0.3">
      <c r="A84" s="18" t="s">
        <v>431</v>
      </c>
      <c r="B84" s="19" t="s">
        <v>432</v>
      </c>
      <c r="C84" s="20"/>
      <c r="D84" s="21"/>
      <c r="E84" s="31">
        <f t="shared" si="11"/>
        <v>0</v>
      </c>
      <c r="F84" s="31">
        <f t="shared" si="9"/>
        <v>0</v>
      </c>
      <c r="G84" s="34">
        <f t="shared" si="10"/>
        <v>0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6.5" thickBot="1" x14ac:dyDescent="0.3">
      <c r="A85" s="18" t="s">
        <v>433</v>
      </c>
      <c r="B85" s="19" t="s">
        <v>434</v>
      </c>
      <c r="C85" s="20"/>
      <c r="D85" s="21"/>
      <c r="E85" s="31">
        <f t="shared" si="11"/>
        <v>0</v>
      </c>
      <c r="F85" s="31">
        <f t="shared" si="9"/>
        <v>0</v>
      </c>
      <c r="G85" s="34">
        <f t="shared" si="10"/>
        <v>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6.5" thickBot="1" x14ac:dyDescent="0.3">
      <c r="A86" s="18" t="s">
        <v>435</v>
      </c>
      <c r="B86" s="19" t="s">
        <v>436</v>
      </c>
      <c r="C86" s="32"/>
      <c r="D86" s="33"/>
      <c r="E86" s="34">
        <f t="shared" si="11"/>
        <v>0</v>
      </c>
      <c r="F86" s="34">
        <f t="shared" si="9"/>
        <v>0</v>
      </c>
      <c r="G86" s="34">
        <f t="shared" si="10"/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6.5" thickBot="1" x14ac:dyDescent="0.3">
      <c r="A87" s="18"/>
      <c r="B87" s="19"/>
      <c r="C87" s="35">
        <f>SUM(C70:C86)</f>
        <v>0</v>
      </c>
      <c r="D87" s="35"/>
      <c r="E87" s="35">
        <f t="shared" ref="E87:G87" si="12">SUM(E70:E86)</f>
        <v>0</v>
      </c>
      <c r="F87" s="38">
        <f>SUM(F70:F86)</f>
        <v>0</v>
      </c>
      <c r="G87" s="35">
        <f t="shared" si="12"/>
        <v>0</v>
      </c>
      <c r="H87" s="25">
        <f t="shared" ref="H87:P87" si="13">SUM(H70:H86)</f>
        <v>0</v>
      </c>
      <c r="I87" s="25">
        <f t="shared" si="13"/>
        <v>0</v>
      </c>
      <c r="J87" s="25">
        <f t="shared" si="13"/>
        <v>0</v>
      </c>
      <c r="K87" s="25">
        <f t="shared" si="13"/>
        <v>0</v>
      </c>
      <c r="L87" s="25">
        <f t="shared" si="13"/>
        <v>0</v>
      </c>
      <c r="M87" s="25">
        <f t="shared" si="13"/>
        <v>0</v>
      </c>
      <c r="N87" s="25">
        <f t="shared" si="13"/>
        <v>0</v>
      </c>
      <c r="O87" s="25">
        <f t="shared" si="13"/>
        <v>0</v>
      </c>
      <c r="P87" s="25">
        <f t="shared" si="13"/>
        <v>0</v>
      </c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6.5" thickBot="1" x14ac:dyDescent="0.3">
      <c r="A88" s="18"/>
      <c r="B88" s="19"/>
      <c r="C88" s="20"/>
      <c r="D88" s="21"/>
      <c r="E88" s="22"/>
      <c r="F88" s="38"/>
      <c r="G88" s="2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6.5" thickBot="1" x14ac:dyDescent="0.3">
      <c r="A89" s="23" t="s">
        <v>379</v>
      </c>
      <c r="B89" s="24"/>
      <c r="C89" s="25">
        <f>C64+C68+C87</f>
        <v>0</v>
      </c>
      <c r="D89" s="25"/>
      <c r="E89" s="25">
        <f>E64+E68+E87</f>
        <v>0</v>
      </c>
      <c r="F89" s="25">
        <f t="shared" ref="F89:G89" si="14">F64+F68+F87</f>
        <v>0</v>
      </c>
      <c r="G89" s="25">
        <f t="shared" si="14"/>
        <v>0</v>
      </c>
      <c r="H89" s="25">
        <f t="shared" ref="H89:P89" si="15">H64+H68+H87</f>
        <v>0</v>
      </c>
      <c r="I89" s="25">
        <f t="shared" si="15"/>
        <v>0</v>
      </c>
      <c r="J89" s="25">
        <f t="shared" si="15"/>
        <v>0</v>
      </c>
      <c r="K89" s="25">
        <f t="shared" si="15"/>
        <v>0</v>
      </c>
      <c r="L89" s="25">
        <f t="shared" si="15"/>
        <v>0</v>
      </c>
      <c r="M89" s="25">
        <f t="shared" si="15"/>
        <v>0</v>
      </c>
      <c r="N89" s="25">
        <f t="shared" si="15"/>
        <v>0</v>
      </c>
      <c r="O89" s="25">
        <f t="shared" si="15"/>
        <v>0</v>
      </c>
      <c r="P89" s="25">
        <f t="shared" si="15"/>
        <v>0</v>
      </c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5.75" x14ac:dyDescent="0.25"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5.75" x14ac:dyDescent="0.25"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5.75" x14ac:dyDescent="0.25"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5.75" x14ac:dyDescent="0.25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5.75" x14ac:dyDescent="0.25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5.75" x14ac:dyDescent="0.25"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5.75" x14ac:dyDescent="0.25"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8:25" ht="15.75" x14ac:dyDescent="0.25"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8:25" ht="15.75" x14ac:dyDescent="0.25"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8:25" ht="15.75" x14ac:dyDescent="0.25"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8:25" ht="15.75" x14ac:dyDescent="0.25"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8:25" ht="15.75" x14ac:dyDescent="0.25"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8:25" ht="15.75" x14ac:dyDescent="0.25"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8:25" ht="15.75" x14ac:dyDescent="0.25"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</sheetData>
  <sheetProtection algorithmName="SHA-512" hashValue="oklWUr5RzC5lc4g+lMxm831wISdE1QTmsZLQyY+IBsbpQhYUGeejqkjJ4WUEOfysLL4QDng9ZrwQ/VJbB6ZQRw==" saltValue="GtR0MbG0IKMlyc1sFLD8m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ESSER III Funding</vt:lpstr>
      <vt:lpstr>ESSER III Supplemental</vt:lpstr>
      <vt:lpstr>Supplemental ESSER (5425)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Kaleda, Steven</dc:creator>
  <cp:lastModifiedBy>Kaleda, Steven</cp:lastModifiedBy>
  <cp:lastPrinted>2021-03-11T18:35:14Z</cp:lastPrinted>
  <dcterms:created xsi:type="dcterms:W3CDTF">2020-05-08T16:44:59Z</dcterms:created>
  <dcterms:modified xsi:type="dcterms:W3CDTF">2022-09-27T14:44:30Z</dcterms:modified>
</cp:coreProperties>
</file>