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AYMENTS\PSFA22\CSI\Mar At-Risk Adjustments\"/>
    </mc:Choice>
  </mc:AlternateContent>
  <xr:revisionPtr revIDLastSave="0" documentId="13_ncr:1_{8D2C7F46-3BAA-4B7E-9ED4-8E3CF2FBA8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lculation Form" sheetId="1" r:id="rId1"/>
    <sheet name="Inputs" sheetId="2" r:id="rId2"/>
    <sheet name="CSI Counts" sheetId="3" r:id="rId3"/>
  </sheets>
  <externalReferences>
    <externalReference r:id="rId4"/>
  </externalReferences>
  <definedNames>
    <definedName name="Inputs">Inputs!$A$2:$I$181</definedName>
    <definedName name="Values">[1]Inputs!$A$2:$I$181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K25" i="1"/>
  <c r="L25" i="1"/>
  <c r="M25" i="1"/>
  <c r="N25" i="1"/>
  <c r="F26" i="1"/>
  <c r="G26" i="1"/>
  <c r="H26" i="1"/>
  <c r="I26" i="1"/>
  <c r="J26" i="1"/>
  <c r="K26" i="1"/>
  <c r="L26" i="1"/>
  <c r="M26" i="1"/>
  <c r="N26" i="1"/>
  <c r="F5" i="1"/>
  <c r="G5" i="1"/>
  <c r="H5" i="1"/>
  <c r="I5" i="1"/>
  <c r="J5" i="1"/>
  <c r="K5" i="1"/>
  <c r="L5" i="1"/>
  <c r="M5" i="1"/>
  <c r="N5" i="1"/>
  <c r="O51" i="3"/>
  <c r="M51" i="3"/>
  <c r="L51" i="3"/>
  <c r="K51" i="3"/>
  <c r="P51" i="3" s="1"/>
  <c r="J51" i="3"/>
  <c r="I51" i="3"/>
  <c r="H51" i="3"/>
  <c r="G51" i="3"/>
  <c r="F51" i="3"/>
  <c r="E51" i="3"/>
  <c r="D51" i="3"/>
  <c r="C51" i="3"/>
  <c r="N51" i="3" s="1"/>
  <c r="O50" i="3"/>
  <c r="M50" i="3"/>
  <c r="L50" i="3"/>
  <c r="K50" i="3"/>
  <c r="P50" i="3" s="1"/>
  <c r="J50" i="3"/>
  <c r="I50" i="3"/>
  <c r="H50" i="3"/>
  <c r="G50" i="3"/>
  <c r="F50" i="3"/>
  <c r="E50" i="3"/>
  <c r="D50" i="3"/>
  <c r="C50" i="3"/>
  <c r="N50" i="3" s="1"/>
  <c r="O49" i="3"/>
  <c r="M49" i="3"/>
  <c r="L49" i="3"/>
  <c r="K49" i="3"/>
  <c r="P49" i="3" s="1"/>
  <c r="J49" i="3"/>
  <c r="I49" i="3"/>
  <c r="H49" i="3"/>
  <c r="G49" i="3"/>
  <c r="F49" i="3"/>
  <c r="E49" i="3"/>
  <c r="D49" i="3"/>
  <c r="C49" i="3"/>
  <c r="N49" i="3" s="1"/>
  <c r="O46" i="3"/>
  <c r="M46" i="3"/>
  <c r="P45" i="3"/>
  <c r="N45" i="3"/>
  <c r="P44" i="3"/>
  <c r="N44" i="3"/>
  <c r="P43" i="3"/>
  <c r="N43" i="3"/>
  <c r="P42" i="3"/>
  <c r="N42" i="3"/>
  <c r="P41" i="3"/>
  <c r="N41" i="3"/>
  <c r="K9" i="1" s="1"/>
  <c r="P40" i="3"/>
  <c r="N40" i="3"/>
  <c r="J9" i="1" s="1"/>
  <c r="P39" i="3"/>
  <c r="N39" i="3"/>
  <c r="I9" i="1" s="1"/>
  <c r="P38" i="3"/>
  <c r="N38" i="3"/>
  <c r="H9" i="1" s="1"/>
  <c r="P37" i="3"/>
  <c r="N37" i="3"/>
  <c r="P36" i="3"/>
  <c r="N36" i="3"/>
  <c r="P35" i="3"/>
  <c r="N35" i="3"/>
  <c r="P34" i="3"/>
  <c r="N34" i="3"/>
  <c r="P33" i="3"/>
  <c r="N33" i="3"/>
  <c r="P32" i="3"/>
  <c r="N32" i="3"/>
  <c r="P31" i="3"/>
  <c r="N31" i="3"/>
  <c r="P30" i="3"/>
  <c r="N30" i="3"/>
  <c r="P29" i="3"/>
  <c r="N29" i="3"/>
  <c r="P28" i="3"/>
  <c r="N28" i="3"/>
  <c r="P27" i="3"/>
  <c r="N27" i="3"/>
  <c r="P26" i="3"/>
  <c r="N26" i="3"/>
  <c r="P25" i="3"/>
  <c r="N25" i="3"/>
  <c r="P24" i="3"/>
  <c r="N24" i="3"/>
  <c r="P23" i="3"/>
  <c r="N23" i="3"/>
  <c r="P22" i="3"/>
  <c r="N22" i="3"/>
  <c r="P21" i="3"/>
  <c r="N21" i="3"/>
  <c r="P20" i="3"/>
  <c r="N20" i="3"/>
  <c r="P19" i="3"/>
  <c r="N19" i="3"/>
  <c r="P18" i="3"/>
  <c r="N18" i="3"/>
  <c r="P17" i="3"/>
  <c r="N17" i="3"/>
  <c r="P16" i="3"/>
  <c r="N16" i="3"/>
  <c r="P15" i="3"/>
  <c r="N15" i="3"/>
  <c r="P14" i="3"/>
  <c r="N14" i="3"/>
  <c r="P13" i="3"/>
  <c r="N13" i="3"/>
  <c r="P12" i="3"/>
  <c r="N12" i="3"/>
  <c r="P11" i="3"/>
  <c r="N11" i="3"/>
  <c r="P10" i="3"/>
  <c r="N10" i="3"/>
  <c r="P9" i="3"/>
  <c r="N9" i="3"/>
  <c r="P8" i="3"/>
  <c r="N8" i="3"/>
  <c r="P7" i="3"/>
  <c r="N7" i="3"/>
  <c r="P6" i="3"/>
  <c r="N6" i="3"/>
  <c r="P5" i="3"/>
  <c r="N5" i="3"/>
  <c r="P4" i="3"/>
  <c r="N4" i="3"/>
  <c r="P3" i="3"/>
  <c r="N3" i="3"/>
  <c r="P2" i="3"/>
  <c r="P46" i="3" s="1"/>
  <c r="N2" i="3"/>
  <c r="N46" i="3" s="1"/>
  <c r="O183" i="2"/>
  <c r="N183" i="2"/>
  <c r="K183" i="2"/>
  <c r="J183" i="2"/>
  <c r="I183" i="2"/>
  <c r="L183" i="2" s="1"/>
  <c r="H183" i="2"/>
  <c r="G183" i="2"/>
  <c r="F183" i="2"/>
  <c r="E183" i="2"/>
  <c r="D183" i="2"/>
  <c r="L182" i="2"/>
  <c r="E5" i="1"/>
  <c r="H24" i="1"/>
  <c r="I24" i="1"/>
  <c r="J24" i="1"/>
  <c r="K24" i="1"/>
  <c r="L24" i="1"/>
  <c r="M24" i="1"/>
  <c r="N24" i="1"/>
  <c r="G24" i="1"/>
  <c r="F24" i="1"/>
  <c r="E24" i="1"/>
  <c r="E25" i="1" s="1"/>
  <c r="N20" i="1"/>
  <c r="M20" i="1"/>
  <c r="L20" i="1"/>
  <c r="K20" i="1"/>
  <c r="J20" i="1"/>
  <c r="I20" i="1"/>
  <c r="H20" i="1"/>
  <c r="G20" i="1"/>
  <c r="F20" i="1"/>
  <c r="E20" i="1"/>
  <c r="N15" i="1"/>
  <c r="M15" i="1"/>
  <c r="L15" i="1"/>
  <c r="K15" i="1"/>
  <c r="J15" i="1"/>
  <c r="I15" i="1"/>
  <c r="H15" i="1"/>
  <c r="G15" i="1"/>
  <c r="F15" i="1"/>
  <c r="E15" i="1"/>
  <c r="N9" i="1"/>
  <c r="M9" i="1"/>
  <c r="L9" i="1"/>
  <c r="G9" i="1"/>
  <c r="F9" i="1"/>
  <c r="E9" i="1"/>
  <c r="B26" i="1"/>
  <c r="B24" i="1" l="1"/>
  <c r="B20" i="1" l="1"/>
  <c r="B30" i="1" l="1"/>
  <c r="L21" i="1"/>
  <c r="B34" i="1"/>
  <c r="B28" i="1"/>
  <c r="B29" i="1"/>
  <c r="B17" i="1"/>
  <c r="B15" i="1"/>
  <c r="B13" i="1"/>
  <c r="J13" i="1" s="1"/>
  <c r="B9" i="1"/>
  <c r="B6" i="1"/>
  <c r="J21" i="1"/>
  <c r="G21" i="1"/>
  <c r="K21" i="1"/>
  <c r="I21" i="1"/>
  <c r="M21" i="1"/>
  <c r="N21" i="1"/>
  <c r="F21" i="1"/>
  <c r="H21" i="1"/>
  <c r="C20" i="1"/>
  <c r="C15" i="1"/>
  <c r="E21" i="1"/>
  <c r="B32" i="1" l="1"/>
  <c r="B21" i="1"/>
  <c r="C29" i="1"/>
  <c r="I13" i="1"/>
  <c r="B18" i="1"/>
  <c r="C13" i="1"/>
  <c r="K13" i="1"/>
  <c r="H13" i="1"/>
  <c r="N13" i="1"/>
  <c r="M13" i="1"/>
  <c r="F13" i="1"/>
  <c r="G13" i="1"/>
  <c r="E13" i="1"/>
  <c r="L13" i="1"/>
  <c r="H40" i="1" l="1"/>
  <c r="J40" i="1"/>
  <c r="K40" i="1"/>
  <c r="L40" i="1"/>
  <c r="N40" i="1"/>
  <c r="I40" i="1"/>
  <c r="M40" i="1"/>
  <c r="F40" i="1"/>
  <c r="J22" i="1"/>
  <c r="J35" i="1" s="1"/>
  <c r="J36" i="1" s="1"/>
  <c r="G22" i="1"/>
  <c r="L22" i="1"/>
  <c r="N22" i="1"/>
  <c r="K22" i="1"/>
  <c r="H22" i="1"/>
  <c r="F22" i="1"/>
  <c r="I22" i="1"/>
  <c r="M22" i="1"/>
  <c r="G40" i="1"/>
  <c r="C9" i="1"/>
  <c r="B10" i="1" s="1"/>
  <c r="B11" i="1" s="1"/>
  <c r="B25" i="1" s="1"/>
  <c r="E22" i="1"/>
  <c r="E40" i="1"/>
  <c r="N35" i="1" l="1"/>
  <c r="N36" i="1" s="1"/>
  <c r="N42" i="1" s="1"/>
  <c r="K35" i="1"/>
  <c r="K36" i="1" s="1"/>
  <c r="K39" i="1" s="1"/>
  <c r="K41" i="1" s="1"/>
  <c r="K44" i="1" s="1"/>
  <c r="I35" i="1"/>
  <c r="I36" i="1" s="1"/>
  <c r="I39" i="1" s="1"/>
  <c r="I41" i="1" s="1"/>
  <c r="I44" i="1" s="1"/>
  <c r="L35" i="1"/>
  <c r="L36" i="1" s="1"/>
  <c r="L39" i="1" s="1"/>
  <c r="L41" i="1" s="1"/>
  <c r="L44" i="1" s="1"/>
  <c r="M35" i="1"/>
  <c r="M36" i="1" s="1"/>
  <c r="M39" i="1" s="1"/>
  <c r="M41" i="1" s="1"/>
  <c r="M44" i="1" s="1"/>
  <c r="J42" i="1"/>
  <c r="J39" i="1"/>
  <c r="J41" i="1" s="1"/>
  <c r="J44" i="1" s="1"/>
  <c r="E26" i="1"/>
  <c r="E35" i="1" s="1"/>
  <c r="E36" i="1" s="1"/>
  <c r="H35" i="1"/>
  <c r="H36" i="1" s="1"/>
  <c r="F35" i="1"/>
  <c r="F36" i="1" s="1"/>
  <c r="G35" i="1"/>
  <c r="G36" i="1" s="1"/>
  <c r="C40" i="1"/>
  <c r="N39" i="1" l="1"/>
  <c r="N41" i="1" s="1"/>
  <c r="N44" i="1" s="1"/>
  <c r="K42" i="1"/>
  <c r="M42" i="1"/>
  <c r="I42" i="1"/>
  <c r="L42" i="1"/>
  <c r="H42" i="1"/>
  <c r="H39" i="1"/>
  <c r="H41" i="1" s="1"/>
  <c r="H44" i="1" s="1"/>
  <c r="G42" i="1"/>
  <c r="G39" i="1"/>
  <c r="G41" i="1" s="1"/>
  <c r="G44" i="1" s="1"/>
  <c r="F42" i="1"/>
  <c r="F39" i="1"/>
  <c r="F41" i="1" s="1"/>
  <c r="F44" i="1" s="1"/>
  <c r="E42" i="1"/>
  <c r="E39" i="1"/>
  <c r="E41" i="1" s="1"/>
  <c r="C42" i="1" l="1"/>
  <c r="O41" i="1"/>
  <c r="O42" i="1" s="1"/>
  <c r="C39" i="1"/>
  <c r="B42" i="1" s="1"/>
  <c r="E44" i="1"/>
  <c r="O44" i="1" s="1"/>
  <c r="C41" i="1"/>
  <c r="B37" i="1" l="1"/>
  <c r="B22" i="1" s="1"/>
</calcChain>
</file>

<file path=xl/sharedStrings.xml><?xml version="1.0" encoding="utf-8"?>
<sst xmlns="http://schemas.openxmlformats.org/spreadsheetml/2006/main" count="798" uniqueCount="548">
  <si>
    <t>Enter District Number:</t>
  </si>
  <si>
    <t>DISTRICT</t>
  </si>
  <si>
    <t>At-risk Pupil Count</t>
  </si>
  <si>
    <t>Funded Pupil Count</t>
  </si>
  <si>
    <t>K-12 Membership</t>
  </si>
  <si>
    <t>Adjusted District Per-Pupil Revenue</t>
  </si>
  <si>
    <t>District Per-Pupil Revenue</t>
  </si>
  <si>
    <t>Total At-Risk Funding</t>
  </si>
  <si>
    <t>TOTAL PROGRAM</t>
  </si>
  <si>
    <t>Total Program Funding</t>
  </si>
  <si>
    <t>Less: Charter School Count</t>
  </si>
  <si>
    <t>District Adjusted Pupil Count</t>
  </si>
  <si>
    <t>District Per Pupil At-Risk Funding</t>
  </si>
  <si>
    <t xml:space="preserve">Total Formula Per Pupil Funding </t>
  </si>
  <si>
    <t>Charter Total Program (Adjusted)</t>
  </si>
  <si>
    <t>Charter Total Program (Unadjusted)</t>
  </si>
  <si>
    <t>Adjusted Charter Per-Pupil Revenue</t>
  </si>
  <si>
    <t>At-risk Funding to (from) Charter</t>
  </si>
  <si>
    <t>Adjusted At-risk Per Pupil Funding</t>
  </si>
  <si>
    <t>CALCULATION ELEMENTS</t>
  </si>
  <si>
    <t>Percentage of Pupils Eligible for Free Lunch (At-risk Pupil Count divided by K-12 Membership)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</si>
  <si>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</si>
  <si>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</si>
  <si>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</si>
  <si>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</si>
  <si>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</si>
  <si>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</si>
  <si>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</si>
  <si>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</si>
  <si>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</si>
  <si>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</si>
  <si>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</si>
  <si>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</si>
  <si>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</si>
  <si>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</si>
  <si>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</si>
  <si>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</si>
  <si>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</si>
  <si>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</si>
  <si>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</si>
  <si>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</si>
  <si>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</si>
  <si>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</si>
  <si>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</si>
  <si>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</si>
  <si>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</si>
  <si>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</si>
  <si>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</si>
  <si>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</si>
  <si>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</si>
  <si>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</si>
  <si>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</si>
  <si>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</si>
  <si>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</si>
  <si>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</si>
  <si>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</si>
  <si>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</si>
  <si>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</si>
  <si>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</si>
  <si>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</si>
  <si>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</si>
  <si>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</si>
  <si>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</si>
  <si>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</si>
  <si>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</si>
  <si>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</si>
  <si>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</si>
  <si>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</si>
  <si>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</si>
  <si>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</si>
  <si>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</si>
  <si>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</si>
  <si>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</si>
  <si>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</si>
  <si>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</si>
  <si>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</si>
  <si>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</si>
  <si>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</si>
  <si>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</si>
  <si>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</si>
  <si>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</si>
  <si>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</si>
  <si>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</si>
  <si>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</si>
  <si>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</si>
  <si>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</si>
  <si>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</si>
  <si>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</si>
  <si>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</si>
  <si>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</si>
  <si>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</si>
  <si>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</si>
  <si>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</si>
  <si>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</si>
  <si>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</si>
  <si>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</si>
  <si>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</si>
  <si>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</si>
  <si>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</si>
  <si>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</si>
  <si>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</si>
  <si>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</si>
  <si>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</si>
  <si>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</si>
  <si>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</si>
  <si>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</si>
  <si>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</si>
  <si>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</si>
  <si>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</si>
  <si>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</si>
  <si>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</si>
  <si>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</si>
  <si>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</si>
  <si>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</si>
  <si>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</si>
  <si>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</si>
  <si>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</si>
  <si>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</si>
  <si>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</si>
  <si>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</si>
  <si>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</si>
  <si>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</si>
  <si>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</si>
  <si>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</si>
  <si>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</si>
  <si>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</si>
  <si>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</si>
  <si>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</si>
  <si>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</si>
  <si>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</si>
  <si>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</si>
  <si>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</si>
  <si>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</si>
  <si>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</si>
  <si>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</si>
  <si>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</si>
  <si>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</si>
  <si>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</si>
  <si>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</si>
  <si>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</si>
  <si>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</si>
  <si>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</si>
  <si>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</si>
  <si>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</si>
  <si>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</si>
  <si>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</si>
  <si>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</si>
  <si>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</si>
  <si>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</si>
  <si>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</si>
  <si>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</si>
  <si>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</si>
  <si>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</si>
  <si>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</si>
  <si>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</si>
  <si>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</si>
  <si>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</si>
  <si>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</si>
  <si>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</si>
  <si>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</si>
  <si>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</si>
  <si>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</si>
  <si>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</si>
  <si>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</si>
  <si>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</si>
  <si>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</si>
  <si>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</si>
  <si>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</si>
  <si>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</si>
  <si>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</si>
  <si>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</si>
  <si>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</si>
  <si>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</si>
  <si>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</si>
  <si>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</si>
  <si>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</si>
  <si>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</si>
  <si>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</si>
  <si>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</si>
  <si>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</si>
  <si>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</si>
  <si>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</si>
  <si>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</si>
  <si>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</si>
  <si>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</si>
  <si>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</si>
  <si>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</si>
  <si>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</si>
  <si>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</si>
  <si>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</si>
  <si>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</si>
  <si>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</si>
  <si>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</si>
  <si>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</si>
  <si>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</si>
  <si>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</si>
  <si>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</si>
  <si>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</si>
  <si>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</si>
  <si>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</si>
  <si>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</si>
  <si>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</si>
  <si>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</si>
  <si>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</si>
  <si>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</si>
  <si>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</si>
  <si>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</si>
  <si>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</si>
  <si>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</si>
  <si>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</si>
  <si>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</si>
  <si>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</si>
  <si>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</si>
  <si>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</si>
  <si>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</si>
  <si>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</si>
  <si>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</si>
  <si>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</si>
  <si>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</si>
  <si>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</si>
  <si>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</si>
  <si>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</si>
  <si>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</si>
  <si>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</si>
  <si>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</si>
  <si>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</si>
  <si>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</si>
  <si>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</si>
  <si>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</si>
  <si>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</si>
  <si>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</si>
  <si>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</si>
  <si>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District Code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</si>
  <si>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</si>
  <si>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</si>
  <si>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</si>
  <si>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</si>
  <si>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</si>
  <si>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</si>
  <si>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</si>
  <si>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</si>
  <si>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</si>
  <si>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</si>
  <si>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</si>
  <si>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</si>
  <si>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</si>
  <si>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</si>
  <si>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</si>
  <si>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</si>
  <si>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</si>
  <si>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</si>
  <si>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</si>
  <si>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</si>
  <si>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</si>
  <si>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</si>
  <si>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</si>
  <si>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</si>
  <si>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</si>
  <si>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</si>
  <si>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</si>
  <si>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</si>
  <si>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</si>
  <si>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</si>
  <si>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</si>
  <si>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</si>
  <si>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</si>
  <si>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</si>
  <si>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</si>
  <si>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</si>
  <si>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</si>
  <si>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</si>
  <si>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</si>
  <si>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</si>
  <si>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</si>
  <si>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</si>
  <si>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</si>
  <si>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</si>
  <si>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</si>
  <si>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</si>
  <si>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</si>
  <si>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</si>
  <si>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</si>
  <si>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</si>
  <si>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</si>
  <si>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</si>
  <si>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</si>
  <si>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</si>
  <si>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</si>
  <si>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</si>
  <si>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</si>
  <si>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</si>
  <si>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</si>
  <si>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</si>
  <si>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</si>
  <si>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</si>
  <si>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</si>
  <si>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</si>
  <si>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</si>
  <si>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</si>
  <si>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</si>
  <si>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</si>
  <si>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</si>
  <si>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</si>
  <si>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</si>
  <si>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</si>
  <si>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</si>
  <si>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</si>
  <si>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</si>
  <si>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</si>
  <si>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</si>
  <si>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</si>
  <si>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</si>
  <si>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</si>
  <si>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</si>
  <si>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</si>
  <si>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</si>
  <si>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</si>
  <si>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</si>
  <si>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</si>
  <si>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</si>
  <si>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</si>
  <si>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</si>
  <si>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</si>
  <si>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</si>
  <si>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</si>
  <si>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</si>
  <si>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</si>
  <si>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</si>
  <si>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</si>
  <si>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</si>
  <si>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</si>
  <si>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</si>
  <si>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</si>
  <si>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</si>
  <si>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</si>
  <si>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</si>
  <si>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</si>
  <si>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</si>
  <si>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</si>
  <si>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</si>
  <si>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</si>
  <si>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</si>
  <si>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</si>
  <si>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</si>
  <si>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</si>
  <si>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</si>
  <si>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</si>
  <si>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</si>
  <si>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</si>
  <si>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</si>
  <si>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</si>
  <si>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</si>
  <si>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</si>
  <si>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</si>
  <si>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</si>
  <si>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</si>
  <si>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</si>
  <si>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</si>
  <si>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</si>
  <si>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</si>
  <si>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</si>
  <si>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</si>
  <si>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</si>
  <si>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</si>
  <si>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</si>
  <si>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</si>
  <si>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</si>
  <si>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</si>
  <si>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</si>
  <si>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</si>
  <si>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</si>
  <si>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</si>
  <si>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</si>
  <si>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</si>
  <si>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</si>
  <si>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</si>
  <si>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</si>
  <si>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</si>
  <si>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</si>
  <si>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</si>
  <si>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</si>
  <si>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</si>
  <si>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</si>
  <si>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</si>
  <si>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</si>
  <si>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</si>
  <si>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</si>
  <si>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</si>
  <si>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</si>
  <si>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</si>
  <si>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</si>
  <si>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</si>
  <si>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</si>
  <si>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</si>
  <si>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</si>
  <si>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</si>
  <si>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</si>
  <si>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</si>
  <si>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</si>
  <si>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</si>
  <si>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</si>
  <si>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</si>
  <si>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</si>
  <si>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</si>
  <si>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</si>
  <si>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</si>
  <si>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</si>
  <si>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</si>
  <si>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</si>
  <si>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</si>
  <si>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</si>
  <si>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At-Risk Pupil Count</t>
  </si>
  <si>
    <t>Charter School Totals</t>
  </si>
  <si>
    <t>County</t>
  </si>
  <si>
    <t>District</t>
  </si>
  <si>
    <t>District Name</t>
  </si>
  <si>
    <t xml:space="preserve">Instructions: </t>
  </si>
  <si>
    <t>Step 1 - Enter district number</t>
  </si>
  <si>
    <t xml:space="preserve">Step 2 - Enter charter school fields indicated by yellow highlight.  </t>
  </si>
  <si>
    <t>Revised Total Program Funding</t>
  </si>
  <si>
    <t>SBSF</t>
  </si>
  <si>
    <t xml:space="preserve"> </t>
  </si>
  <si>
    <t>Charter Per-Pupil Revenue (greater of floor or adjusted)</t>
  </si>
  <si>
    <t>Charter School</t>
  </si>
  <si>
    <t>Budget Stabilization Factor Total/Per Pupil</t>
  </si>
  <si>
    <t>Rescission</t>
  </si>
  <si>
    <t>Floor Funding (after BS Factor/Rescission)</t>
  </si>
  <si>
    <t>Budget Stabilization Factor Total Program Funding</t>
  </si>
  <si>
    <t>0015</t>
  </si>
  <si>
    <t>3439</t>
  </si>
  <si>
    <t>0654;6913;6914</t>
  </si>
  <si>
    <t>SCHOOL_CODE</t>
  </si>
  <si>
    <t>CSI_K_12_FTE_CNT</t>
  </si>
  <si>
    <t>CSI_KIND_FTE_CNT</t>
  </si>
  <si>
    <t>CSI_HALF_DAY_KIND</t>
  </si>
  <si>
    <t>CSI_ONLINE_CNT</t>
  </si>
  <si>
    <t>CSI_CPP_CNT</t>
  </si>
  <si>
    <t>CSI_SPECED_CNT</t>
  </si>
  <si>
    <t>CSI_ASCENT_CNT</t>
  </si>
  <si>
    <t>CSI_MEM_1_8_CNT</t>
  </si>
  <si>
    <t>CSI_MEM_K_12_CNT</t>
  </si>
  <si>
    <t>FPC</t>
  </si>
  <si>
    <t>ELL</t>
  </si>
  <si>
    <t>TOT_AT_RISK</t>
  </si>
  <si>
    <t>6914</t>
  </si>
  <si>
    <t>1882</t>
  </si>
  <si>
    <t>9037</t>
  </si>
  <si>
    <t>9040</t>
  </si>
  <si>
    <t>0655</t>
  </si>
  <si>
    <t>2837</t>
  </si>
  <si>
    <t>7278</t>
  </si>
  <si>
    <t>1633</t>
  </si>
  <si>
    <t>3513</t>
  </si>
  <si>
    <t>5957</t>
  </si>
  <si>
    <t>6219</t>
  </si>
  <si>
    <t>6266</t>
  </si>
  <si>
    <t>8061</t>
  </si>
  <si>
    <t>2196</t>
  </si>
  <si>
    <t>0653</t>
  </si>
  <si>
    <t>1371</t>
  </si>
  <si>
    <t>1505</t>
  </si>
  <si>
    <t>1791</t>
  </si>
  <si>
    <t>1795</t>
  </si>
  <si>
    <t>3326</t>
  </si>
  <si>
    <t>4403</t>
  </si>
  <si>
    <t>5851</t>
  </si>
  <si>
    <t>8825</t>
  </si>
  <si>
    <t>5431</t>
  </si>
  <si>
    <t>7512</t>
  </si>
  <si>
    <t>8821</t>
  </si>
  <si>
    <t>3393</t>
  </si>
  <si>
    <t>0075</t>
  </si>
  <si>
    <t>5453</t>
  </si>
  <si>
    <t>0657</t>
  </si>
  <si>
    <t>0149</t>
  </si>
  <si>
    <t>0493</t>
  </si>
  <si>
    <t>1387</t>
  </si>
  <si>
    <t>1882;9037;9040</t>
  </si>
  <si>
    <t>6266;3513</t>
  </si>
  <si>
    <t>0079</t>
  </si>
  <si>
    <t>1005</t>
  </si>
  <si>
    <t>FC9</t>
  </si>
  <si>
    <t>AR6</t>
  </si>
  <si>
    <t>PP7</t>
  </si>
  <si>
    <t>AR19</t>
  </si>
  <si>
    <t>V10</t>
  </si>
  <si>
    <t>GT1</t>
  </si>
  <si>
    <t>GT7</t>
  </si>
  <si>
    <t>RS1</t>
  </si>
  <si>
    <t>GT7.1</t>
  </si>
  <si>
    <t>ELL Funded Count</t>
  </si>
  <si>
    <t>Percentage of ELL Pupils</t>
  </si>
  <si>
    <t>ELL Pupil Count</t>
  </si>
  <si>
    <t>Total ELL Formula Funding</t>
  </si>
  <si>
    <t>Minimum Floor Funding after Budget Stabilization Factor</t>
  </si>
  <si>
    <t>2067</t>
  </si>
  <si>
    <t>5169</t>
  </si>
  <si>
    <t>1279</t>
  </si>
  <si>
    <t>5845</t>
  </si>
  <si>
    <t>5313</t>
  </si>
  <si>
    <t>5423</t>
  </si>
  <si>
    <t>CSI_FRL_1_8_CNT</t>
  </si>
  <si>
    <t>CSI_FRL_K_12_CNT</t>
  </si>
  <si>
    <t>School Code</t>
  </si>
  <si>
    <t>School Name</t>
  </si>
  <si>
    <t>Coperni 3</t>
  </si>
  <si>
    <t>Colorado Military Academy</t>
  </si>
  <si>
    <t>Colorado Springs Charter Academy</t>
  </si>
  <si>
    <t>Coperni 2</t>
  </si>
  <si>
    <t>Mountain Song Community School</t>
  </si>
  <si>
    <t>Mountain Middle School</t>
  </si>
  <si>
    <t>Golden View Charter Academy</t>
  </si>
  <si>
    <t>Caprock Academy</t>
  </si>
  <si>
    <t>Axis International Academy</t>
  </si>
  <si>
    <t>EL1</t>
  </si>
  <si>
    <t>EL4</t>
  </si>
  <si>
    <t>Academy Of Charter Schools</t>
  </si>
  <si>
    <t>Global Village Academy - Northglenn</t>
  </si>
  <si>
    <t>The Pinnacle Charter School</t>
  </si>
  <si>
    <t>Community Leadership Academy/Victory Prep</t>
  </si>
  <si>
    <t>High Point Academy</t>
  </si>
  <si>
    <t>Crown Pointe Charter Academy</t>
  </si>
  <si>
    <t>Early College Of Arvada</t>
  </si>
  <si>
    <t>Ricardo Flores Magon Academy</t>
  </si>
  <si>
    <t>Colorado Early Colleges - Aurora</t>
  </si>
  <si>
    <t>Montessori Del Mundo Charter School</t>
  </si>
  <si>
    <t>New America School - Lowry</t>
  </si>
  <si>
    <t>New Legacy Charter School</t>
  </si>
  <si>
    <t>Salida Montessori Charter School</t>
  </si>
  <si>
    <t>Ascent Classical Academies Dougco</t>
  </si>
  <si>
    <t>Colorado Early Colleges - Douglas County</t>
  </si>
  <si>
    <t>Stone Creek School</t>
  </si>
  <si>
    <t xml:space="preserve">Colorado Early Colleges - Colorado Springs </t>
  </si>
  <si>
    <t>Colorado International Language Academy</t>
  </si>
  <si>
    <t>James Irwin Charter Academy</t>
  </si>
  <si>
    <t>Thomas Maclaren State Charter School</t>
  </si>
  <si>
    <t>Ross Montessori School</t>
  </si>
  <si>
    <t>Two Rivers Community School</t>
  </si>
  <si>
    <t>Animas High School</t>
  </si>
  <si>
    <t>Colorado Early College - Fort Collins West</t>
  </si>
  <si>
    <t>Academy Of Arts &amp; Knowledge</t>
  </si>
  <si>
    <t>Ascent Classical Academies Noco</t>
  </si>
  <si>
    <t>Colorado Early College - Windsor</t>
  </si>
  <si>
    <t>Colorado Early College - Fort Collins</t>
  </si>
  <si>
    <t>Pueblo School for Arts &amp; Sciences e-Learning Academy</t>
  </si>
  <si>
    <t>Monument View Montessori Charter School</t>
  </si>
  <si>
    <t>Kwiyagat Community Academy</t>
  </si>
  <si>
    <t>Mountain Village Montessori Charter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</si>
</sst>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"/>
    <numFmt numFmtId="165" formatCode="_(* #,##0.0_);_(* \(#,##0.0\);_(* &quot;-&quot;?_);_(@_)"/>
    <numFmt numFmtId="166" formatCode="_(* #,##0.0_);_(* \(#,##0.0\);_(* &quot;-&quot;??_);_(@_)"/>
    <numFmt numFmtId="167" formatCode="0.0000"/>
    <numFmt numFmtId="168" formatCode="0.0"/>
    <numFmt numFmtId="169" formatCode="_(* #,##0.0000_);_(* \(#,##0.000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3" fontId="3" fillId="0" borderId="0" applyFont="0" applyFill="0" applyBorder="0" applyAlignment="0" applyProtection="0"/>
    <xf numFmtId="40" fontId="7" fillId="0" borderId="0"/>
    <xf numFmtId="40" fontId="7" fillId="0" borderId="0"/>
    <xf numFmtId="40" fontId="7" fillId="0" borderId="0"/>
    <xf numFmtId="0" fontId="3" fillId="0" borderId="0"/>
    <xf numFmtId="0" fontId="2" fillId="0" borderId="0"/>
    <xf numFmtId="0" fontId="1" fillId="0" borderId="0"/>
    <xf numFmtId="40" fontId="7" fillId="0" borderId="0"/>
    <xf numFmtId="9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43" fontId="0" fillId="0" borderId="0" xfId="0" applyNumberFormat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39" fontId="0" fillId="0" borderId="0" xfId="0" applyNumberFormat="1"/>
    <xf numFmtId="0" fontId="6" fillId="0" borderId="0" xfId="0" applyFont="1"/>
    <xf numFmtId="0" fontId="4" fillId="0" borderId="0" xfId="0" applyFont="1"/>
    <xf numFmtId="40" fontId="8" fillId="0" borderId="0" xfId="0" applyNumberFormat="1" applyFont="1" applyFill="1" applyBorder="1" applyAlignment="1">
      <alignment wrapText="1"/>
    </xf>
    <xf numFmtId="40" fontId="4" fillId="0" borderId="0" xfId="2" applyFont="1" applyAlignment="1">
      <alignment wrapText="1"/>
    </xf>
    <xf numFmtId="0" fontId="5" fillId="0" borderId="0" xfId="0" applyFont="1"/>
    <xf numFmtId="49" fontId="0" fillId="0" borderId="0" xfId="0" quotePrefix="1" applyNumberFormat="1" applyAlignment="1">
      <alignment wrapText="1"/>
    </xf>
    <xf numFmtId="49" fontId="0" fillId="0" borderId="0" xfId="0" applyNumberFormat="1"/>
    <xf numFmtId="0" fontId="0" fillId="0" borderId="0" xfId="0" applyAlignment="1">
      <alignment vertical="top" wrapText="1"/>
    </xf>
    <xf numFmtId="49" fontId="3" fillId="0" borderId="0" xfId="0" quotePrefix="1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40" fontId="5" fillId="0" borderId="0" xfId="0" applyNumberFormat="1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left"/>
    </xf>
    <xf numFmtId="40" fontId="0" fillId="0" borderId="0" xfId="0" applyNumberFormat="1"/>
    <xf numFmtId="0" fontId="3" fillId="0" borderId="0" xfId="0" quotePrefix="1" applyFont="1"/>
    <xf numFmtId="49" fontId="3" fillId="2" borderId="0" xfId="0" applyNumberFormat="1" applyFont="1" applyFill="1" applyAlignment="1">
      <alignment horizontal="center"/>
    </xf>
    <xf numFmtId="168" fontId="0" fillId="0" borderId="0" xfId="0" applyNumberFormat="1"/>
    <xf numFmtId="169" fontId="0" fillId="0" borderId="0" xfId="0" applyNumberFormat="1"/>
    <xf numFmtId="40" fontId="9" fillId="0" borderId="0" xfId="8" applyFont="1"/>
    <xf numFmtId="168" fontId="9" fillId="0" borderId="0" xfId="8" applyNumberFormat="1" applyFont="1"/>
    <xf numFmtId="1" fontId="9" fillId="0" borderId="0" xfId="8" applyNumberFormat="1" applyFont="1"/>
    <xf numFmtId="0" fontId="9" fillId="0" borderId="0" xfId="0" applyFont="1"/>
    <xf numFmtId="0" fontId="9" fillId="0" borderId="0" xfId="5" quotePrefix="1" applyFont="1"/>
    <xf numFmtId="168" fontId="9" fillId="0" borderId="0" xfId="5" applyNumberFormat="1" applyFont="1"/>
    <xf numFmtId="164" fontId="9" fillId="0" borderId="0" xfId="5" applyNumberFormat="1" applyFont="1"/>
    <xf numFmtId="1" fontId="9" fillId="0" borderId="0" xfId="5" applyNumberFormat="1" applyFont="1"/>
    <xf numFmtId="0" fontId="9" fillId="0" borderId="0" xfId="5" applyFont="1"/>
    <xf numFmtId="40" fontId="9" fillId="0" borderId="0" xfId="5" applyNumberFormat="1" applyFont="1" applyAlignment="1">
      <alignment horizontal="left"/>
    </xf>
    <xf numFmtId="40" fontId="9" fillId="0" borderId="0" xfId="8" applyFont="1" applyAlignment="1">
      <alignment horizontal="left"/>
    </xf>
    <xf numFmtId="40" fontId="9" fillId="0" borderId="0" xfId="8" quotePrefix="1" applyFont="1"/>
    <xf numFmtId="0" fontId="3" fillId="2" borderId="0" xfId="0" applyFont="1" applyFill="1"/>
    <xf numFmtId="0" fontId="1" fillId="0" borderId="0" xfId="7"/>
  </cellXfs>
  <cellStyles count="11">
    <cellStyle name="Comma0" xfId="1" xr:uid="{00000000-0005-0000-0000-000000000000}"/>
    <cellStyle name="Normal" xfId="0" builtinId="0"/>
    <cellStyle name="Normal 2" xfId="2" xr:uid="{00000000-0005-0000-0000-000002000000}"/>
    <cellStyle name="Normal 2 2" xfId="5" xr:uid="{00000000-0005-0000-0000-000003000000}"/>
    <cellStyle name="Normal 2 2 2" xfId="8" xr:uid="{A22F686D-BA25-459D-B84B-BDACB90D15B6}"/>
    <cellStyle name="Normal 3" xfId="6" xr:uid="{00000000-0005-0000-0000-000004000000}"/>
    <cellStyle name="Normal 3 2" xfId="10" xr:uid="{1A61C939-2004-45DE-B1E0-E4816FB3BB88}"/>
    <cellStyle name="Normal 4" xfId="7" xr:uid="{FE7CE6E8-54A2-4378-8EBB-3685128EE7E5}"/>
    <cellStyle name="Normal 5" xfId="3" xr:uid="{00000000-0005-0000-0000-000005000000}"/>
    <cellStyle name="Normal 5 2" xfId="4" xr:uid="{00000000-0005-0000-0000-000006000000}"/>
    <cellStyle name="Percent 2" xfId="9" xr:uid="{735D082F-2486-4DF0-A440-657348F2B8F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FU\Institute%20Charter\Denver%20Adjusted%20At-risk%20Funding%20with%20Concentration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ar Blair"/>
      <sheetName val="Original Form"/>
      <sheetName val="Calculation Form"/>
      <sheetName val="Inputs"/>
      <sheetName val="Sheet5"/>
      <sheetName val="Sheet4"/>
      <sheetName val="Sheet2"/>
      <sheetName val="Sheet3"/>
    </sheetNames>
    <sheetDataSet>
      <sheetData sheetId="0"/>
      <sheetData sheetId="1"/>
      <sheetData sheetId="2"/>
      <sheetData sheetId="3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5585329.5499999998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4876651.7699999996</v>
          </cell>
          <cell r="H6">
            <v>6059.5</v>
          </cell>
          <cell r="I6">
            <v>40353034.359999999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58567457.600000001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1079.5999999999999</v>
          </cell>
          <cell r="I8">
            <v>6885999.1199999992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5721973.2599999998</v>
          </cell>
          <cell r="H10">
            <v>9739.2999999999993</v>
          </cell>
          <cell r="I10">
            <v>63517087.729999997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2263.8000000000002</v>
          </cell>
          <cell r="I11">
            <v>13829915.710000001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11596323.939999999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4477453.3099999996</v>
          </cell>
          <cell r="H15">
            <v>46071.9</v>
          </cell>
          <cell r="I15">
            <v>280094223.13999999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92941168.429999992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78724.210000000006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136828.26999999999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35740.379999999997</v>
          </cell>
          <cell r="H25">
            <v>69.5</v>
          </cell>
          <cell r="I25">
            <v>856445.43999999994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2648349.7400000002</v>
          </cell>
          <cell r="H29">
            <v>27069</v>
          </cell>
          <cell r="I29">
            <v>165184659.56999999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5953194.0700000003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1160.0999999999999</v>
          </cell>
          <cell r="I31">
            <v>7213728.8300000001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1213040.1299999999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2163290.2999999998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1100.5999999999999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6964680.6499999994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1170.9000000000001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7302150.6600000001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2560174.2799999998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316.89999999999998</v>
          </cell>
          <cell r="E37">
            <v>178</v>
          </cell>
          <cell r="F37">
            <v>7582.22</v>
          </cell>
          <cell r="G37">
            <v>155208.04</v>
          </cell>
          <cell r="H37">
            <v>307.10000000000002</v>
          </cell>
          <cell r="I37">
            <v>2558013.4900000002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287.39999999999998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548.29999999999995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29130219.960000001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46943423.600000001</v>
          </cell>
          <cell r="H43">
            <v>66690.3</v>
          </cell>
          <cell r="I43">
            <v>451206527.88999999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261483721.00999999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307.10000000000002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8562.7099999999991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10315.200000000001</v>
          </cell>
          <cell r="E53">
            <v>5788</v>
          </cell>
          <cell r="F53">
            <v>5737.03</v>
          </cell>
          <cell r="G53">
            <v>5064506.32</v>
          </cell>
          <cell r="H53">
            <v>10103.799999999999</v>
          </cell>
          <cell r="I53">
            <v>64243094.810000002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33608520.049999997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7686876.2199999997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1285.4000000000001</v>
          </cell>
          <cell r="I58">
            <v>8105487.5099999998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591347.81000000006</v>
          </cell>
          <cell r="H59">
            <v>19524.599999999999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6114506.1999999993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623.29999999999995</v>
          </cell>
          <cell r="E61">
            <v>98</v>
          </cell>
          <cell r="F61">
            <v>6636.41</v>
          </cell>
          <cell r="G61">
            <v>74792.36</v>
          </cell>
          <cell r="H61">
            <v>546.20000000000005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303.60000000000002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2564679.2799999998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32445673.489999998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131.80000000000001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4107.3999999999996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23438351.489999998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2649593.4700000002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30668250.559999999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6352742.4300000006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319.10000000000002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1259.9000000000001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7705910.7199999997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9641158.1099999994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623.79999999999995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8255.5400000000009</v>
          </cell>
          <cell r="G79">
            <v>100635</v>
          </cell>
          <cell r="H79">
            <v>239.5</v>
          </cell>
          <cell r="I79">
            <v>2114986.0099999998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8779.9500000000007</v>
          </cell>
          <cell r="G80">
            <v>92891.91</v>
          </cell>
          <cell r="H80">
            <v>227.5</v>
          </cell>
          <cell r="I80">
            <v>2273832.4900000002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82204.100000000006</v>
          </cell>
          <cell r="E81">
            <v>15608</v>
          </cell>
          <cell r="F81">
            <v>5873.27</v>
          </cell>
          <cell r="G81">
            <v>10542043.960000001</v>
          </cell>
          <cell r="H81">
            <v>80776.600000000006</v>
          </cell>
          <cell r="I81">
            <v>493348651.36000001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8810.1200000000008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8233.4500000000007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554263.56000000006</v>
          </cell>
          <cell r="H89">
            <v>1060.8</v>
          </cell>
          <cell r="I89">
            <v>7359928.1400000006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4516.6000000000004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27253731.600000001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1195.4000000000001</v>
          </cell>
          <cell r="I91">
            <v>7953809.9400000004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5520687.7300000004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82947200.640000001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1271.4000000000001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8105400.1000000006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589283.55000000005</v>
          </cell>
          <cell r="H96">
            <v>1307.5</v>
          </cell>
          <cell r="I96">
            <v>8875028.5299999993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9116.2999999999993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1031.0999999999999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5865927.9000000004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9564.2999999999993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562.79999999999995</v>
          </cell>
          <cell r="E103">
            <v>202</v>
          </cell>
          <cell r="F103">
            <v>6402.97</v>
          </cell>
          <cell r="G103">
            <v>157335.85999999999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10432.469999999999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4616088.5999999996</v>
          </cell>
          <cell r="H111">
            <v>19154.599999999999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154.30000000000001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2148.6999999999998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18865886.600000001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4586567.9400000004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33399468.739999998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9422709.5999999996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10043.540000000001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147908.76999999999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9972320.4800000004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609072.31999999995</v>
          </cell>
          <cell r="H124">
            <v>758.4</v>
          </cell>
          <cell r="I124">
            <v>5596151.7000000002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78481.649999999994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55759.519999999997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9664.2000000000007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1290.5999999999999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8190078.0999999996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264.10000000000002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10556374.109999999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280.60000000000002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16792.900000000001</v>
          </cell>
          <cell r="E140">
            <v>9612</v>
          </cell>
          <cell r="F140">
            <v>5599.61</v>
          </cell>
          <cell r="G140">
            <v>8411887.5700000003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542297.44999999995</v>
          </cell>
          <cell r="H145">
            <v>1197.9000000000001</v>
          </cell>
          <cell r="I145">
            <v>7931396.0199999996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82493.119999999995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643.79999999999995</v>
          </cell>
          <cell r="E152">
            <v>512</v>
          </cell>
          <cell r="F152">
            <v>6072.4</v>
          </cell>
          <cell r="G152">
            <v>654070.55000000005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39368.230000000003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8522.2800000000007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273.60000000000002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2433240.2799999998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299.89999999999998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2386127.7400000002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83620.070000000007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307307.46999999997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92436.160000000003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38333.629999999997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9407629.0899999999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17679126.440000001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6405979.8600000003</v>
          </cell>
          <cell r="H171">
            <v>17513.7</v>
          </cell>
          <cell r="I171">
            <v>106005400.84999999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1085.9000000000001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2264.1999999999998</v>
          </cell>
          <cell r="I173">
            <v>15006256.449999999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284769.59999999998</v>
          </cell>
          <cell r="H174">
            <v>826.8</v>
          </cell>
          <cell r="I174">
            <v>5716372.7000000002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133.30000000000001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5738989.2800000003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4409261.8499999996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1188855.0900000001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tabSelected="1" zoomScale="85" workbookViewId="0">
      <selection activeCell="B5" sqref="B5"/>
    </sheetView>
  </sheetViews>
  <sheetFormatPr defaultRowHeight="12.75" x14ac:dyDescent="0.2"/>
  <cols>
    <col min="1" max="1" width="56.7109375" bestFit="1" customWidth="1"/>
    <col min="2" max="2" width="18.28515625" customWidth="1"/>
    <col min="3" max="3" width="13.85546875" customWidth="1"/>
    <col min="4" max="4" width="6" customWidth="1"/>
    <col min="5" max="6" width="14.28515625" bestFit="1" customWidth="1"/>
    <col min="7" max="7" width="14.42578125" bestFit="1" customWidth="1"/>
    <col min="8" max="10" width="13.140625" bestFit="1" customWidth="1"/>
    <col min="11" max="11" width="11.5703125" bestFit="1" customWidth="1"/>
    <col min="12" max="14" width="13.140625" bestFit="1" customWidth="1"/>
    <col min="15" max="15" width="12.28515625" bestFit="1" customWidth="1"/>
  </cols>
  <sheetData>
    <row r="1" spans="1:14" x14ac:dyDescent="0.2">
      <c r="A1" s="17" t="s">
        <v>416</v>
      </c>
    </row>
    <row r="2" spans="1:14" x14ac:dyDescent="0.2">
      <c r="A2" t="s">
        <v>417</v>
      </c>
    </row>
    <row r="3" spans="1:14" x14ac:dyDescent="0.2">
      <c r="A3" t="s">
        <v>418</v>
      </c>
    </row>
    <row r="4" spans="1:14" x14ac:dyDescent="0.2">
      <c r="E4" s="21"/>
      <c r="F4" s="18"/>
      <c r="G4" s="18"/>
      <c r="H4" s="19"/>
      <c r="I4" s="19"/>
      <c r="J4" s="19"/>
      <c r="K4" s="19"/>
      <c r="L4" s="19"/>
      <c r="M4" s="19"/>
      <c r="N4" s="19"/>
    </row>
    <row r="5" spans="1:14" ht="27.75" customHeight="1" x14ac:dyDescent="0.25">
      <c r="A5" s="13" t="s">
        <v>0</v>
      </c>
      <c r="B5" s="31"/>
      <c r="E5" s="20" t="str">
        <f>IFERROR(VLOOKUP(E4,'CSI Counts'!$U$2:$V$50,2,FALSE),"")</f>
        <v/>
      </c>
      <c r="F5" s="20" t="str">
        <f>IFERROR(VLOOKUP(F4,'CSI Counts'!$U$2:$V$50,2,FALSE),"")</f>
        <v/>
      </c>
      <c r="G5" s="20" t="str">
        <f>IFERROR(VLOOKUP(G4,'CSI Counts'!$U$2:$V$50,2,FALSE),"")</f>
        <v/>
      </c>
      <c r="H5" s="20" t="str">
        <f>IFERROR(VLOOKUP(H4,'CSI Counts'!$U$2:$V$50,2,FALSE),"")</f>
        <v/>
      </c>
      <c r="I5" s="20" t="str">
        <f>IFERROR(VLOOKUP(I4,'CSI Counts'!$U$2:$V$50,2,FALSE),"")</f>
        <v/>
      </c>
      <c r="J5" s="20" t="str">
        <f>IFERROR(VLOOKUP(J4,'CSI Counts'!$U$2:$V$50,2,FALSE),"")</f>
        <v/>
      </c>
      <c r="K5" s="20" t="str">
        <f>IFERROR(VLOOKUP(K4,'CSI Counts'!$U$2:$V$50,2,FALSE),"")</f>
        <v/>
      </c>
      <c r="L5" s="20" t="str">
        <f>IFERROR(VLOOKUP(L4,'CSI Counts'!$U$2:$V$50,2,FALSE),"")</f>
        <v/>
      </c>
      <c r="M5" s="20" t="str">
        <f>IFERROR(VLOOKUP(M4,'CSI Counts'!$U$2:$V$50,2,FALSE),"")</f>
        <v/>
      </c>
      <c r="N5" s="20" t="str">
        <f>IFERROR(VLOOKUP(N4,'CSI Counts'!$U$2:$V$50,2,FALSE),"")</f>
        <v/>
      </c>
    </row>
    <row r="6" spans="1:14" ht="17.25" customHeight="1" x14ac:dyDescent="0.2">
      <c r="A6" t="s">
        <v>415</v>
      </c>
      <c r="B6" s="3" t="e">
        <f>VLOOKUP(B5,Inputs,3,3)</f>
        <v>#N/A</v>
      </c>
    </row>
    <row r="7" spans="1:14" ht="25.5" x14ac:dyDescent="0.2">
      <c r="A7" t="s">
        <v>19</v>
      </c>
      <c r="B7" s="3" t="s">
        <v>1</v>
      </c>
      <c r="C7" s="4" t="s">
        <v>412</v>
      </c>
      <c r="D7" s="4"/>
      <c r="E7" s="15" t="s">
        <v>423</v>
      </c>
      <c r="F7" s="16" t="s">
        <v>423</v>
      </c>
      <c r="G7" s="16" t="s">
        <v>423</v>
      </c>
      <c r="H7" s="16" t="s">
        <v>423</v>
      </c>
      <c r="I7" s="16" t="s">
        <v>423</v>
      </c>
      <c r="J7" s="16" t="s">
        <v>423</v>
      </c>
      <c r="K7" s="16" t="s">
        <v>423</v>
      </c>
      <c r="L7" s="16" t="s">
        <v>423</v>
      </c>
      <c r="M7" s="16" t="s">
        <v>423</v>
      </c>
      <c r="N7" s="16" t="s">
        <v>423</v>
      </c>
    </row>
    <row r="9" spans="1:14" x14ac:dyDescent="0.2">
      <c r="A9" t="s">
        <v>3</v>
      </c>
      <c r="B9" s="6" t="e">
        <f>VLOOKUP(B5,Inputs,4,3)</f>
        <v>#N/A</v>
      </c>
      <c r="C9" s="6">
        <f>SUM(E9:N9)</f>
        <v>0</v>
      </c>
      <c r="E9" s="2" t="str">
        <f>IFERROR(VLOOKUP(E4,'CSI Counts'!$B$2:$N$51,13,FALSE),"")</f>
        <v/>
      </c>
      <c r="F9" s="2" t="str">
        <f>IFERROR(VLOOKUP(F4,'CSI Counts'!$B$2:$N$51,13,FALSE),"")</f>
        <v/>
      </c>
      <c r="G9" s="2" t="str">
        <f>IFERROR(VLOOKUP(G4,'CSI Counts'!$B$2:$N$51,13,FALSE),"")</f>
        <v/>
      </c>
      <c r="H9" s="46" t="str">
        <f>IFERROR(VLOOKUP(H4,'CSI Counts'!$B$2:$N$51,13,FALSE),"")</f>
        <v/>
      </c>
      <c r="I9" s="2" t="str">
        <f>IFERROR(VLOOKUP(I4,'CSI Counts'!$B$2:$N$51,13,FALSE),"")</f>
        <v/>
      </c>
      <c r="J9" s="2" t="str">
        <f>IFERROR(VLOOKUP(J4,'CSI Counts'!$B$2:$N$51,13,FALSE),"")</f>
        <v/>
      </c>
      <c r="K9" s="2" t="str">
        <f>IFERROR(VLOOKUP(K4,'CSI Counts'!$B$2:$N$51,13,FALSE),"")</f>
        <v/>
      </c>
      <c r="L9" s="2" t="str">
        <f>IFERROR(VLOOKUP(L4,'CSI Counts'!$B$2:$N$51,13,FALSE),"")</f>
        <v/>
      </c>
      <c r="M9" s="2" t="str">
        <f>IFERROR(VLOOKUP(M4,'CSI Counts'!$B$2:$N$51,13,FALSE),"")</f>
        <v/>
      </c>
      <c r="N9" s="2" t="str">
        <f>IFERROR(VLOOKUP(N4,'CSI Counts'!$B$2:$N$51,13,FALSE),"")</f>
        <v/>
      </c>
    </row>
    <row r="10" spans="1:14" x14ac:dyDescent="0.2">
      <c r="A10" t="s">
        <v>10</v>
      </c>
      <c r="B10" s="7">
        <f>-C9</f>
        <v>0</v>
      </c>
      <c r="C10" s="7"/>
    </row>
    <row r="11" spans="1:14" x14ac:dyDescent="0.2">
      <c r="A11" t="s">
        <v>11</v>
      </c>
      <c r="B11" s="7" t="e">
        <f>B9+B10</f>
        <v>#N/A</v>
      </c>
      <c r="C11" s="7"/>
    </row>
    <row r="12" spans="1:14" x14ac:dyDescent="0.2">
      <c r="B12" s="7"/>
      <c r="C12" s="7"/>
    </row>
    <row r="13" spans="1:14" x14ac:dyDescent="0.2">
      <c r="A13" s="1" t="s">
        <v>13</v>
      </c>
      <c r="B13" s="8" t="e">
        <f>VLOOKUP(B5,Inputs,6,3)</f>
        <v>#N/A</v>
      </c>
      <c r="C13" s="8" t="e">
        <f>B13</f>
        <v>#N/A</v>
      </c>
      <c r="E13" s="8" t="e">
        <f>$B$13</f>
        <v>#N/A</v>
      </c>
      <c r="F13" s="8" t="e">
        <f t="shared" ref="F13:N13" si="0">$B$13</f>
        <v>#N/A</v>
      </c>
      <c r="G13" s="8" t="e">
        <f t="shared" si="0"/>
        <v>#N/A</v>
      </c>
      <c r="H13" s="8" t="e">
        <f t="shared" si="0"/>
        <v>#N/A</v>
      </c>
      <c r="I13" s="8" t="e">
        <f t="shared" si="0"/>
        <v>#N/A</v>
      </c>
      <c r="J13" s="8" t="e">
        <f t="shared" si="0"/>
        <v>#N/A</v>
      </c>
      <c r="K13" s="8" t="e">
        <f t="shared" si="0"/>
        <v>#N/A</v>
      </c>
      <c r="L13" s="8" t="e">
        <f t="shared" si="0"/>
        <v>#N/A</v>
      </c>
      <c r="M13" s="8" t="e">
        <f t="shared" si="0"/>
        <v>#N/A</v>
      </c>
      <c r="N13" s="8" t="e">
        <f t="shared" si="0"/>
        <v>#N/A</v>
      </c>
    </row>
    <row r="15" spans="1:14" x14ac:dyDescent="0.2">
      <c r="A15" t="s">
        <v>2</v>
      </c>
      <c r="B15" s="6" t="e">
        <f>VLOOKUP(B5,Inputs,5,3)</f>
        <v>#N/A</v>
      </c>
      <c r="C15" s="6">
        <f>SUM(E15:N15)</f>
        <v>0</v>
      </c>
      <c r="E15" s="2" t="str">
        <f>IFERROR(VLOOKUP(E4,'CSI Counts'!$B$2:$P$51,15,FALSE),"")</f>
        <v/>
      </c>
      <c r="F15" s="2" t="str">
        <f>IFERROR(VLOOKUP(F4,'CSI Counts'!$B$2:$P$51,15,FALSE),"")</f>
        <v/>
      </c>
      <c r="G15" s="2" t="str">
        <f>IFERROR(VLOOKUP(G4,'CSI Counts'!$B$2:$P$51,15,FALSE),"")</f>
        <v/>
      </c>
      <c r="H15" s="2" t="str">
        <f>IFERROR(VLOOKUP(H4,'CSI Counts'!$B$2:$P$51,15,FALSE),"")</f>
        <v/>
      </c>
      <c r="I15" s="2" t="str">
        <f>IFERROR(VLOOKUP(I4,'CSI Counts'!$B$2:$P$51,15,FALSE),"")</f>
        <v/>
      </c>
      <c r="J15" s="2" t="str">
        <f>IFERROR(VLOOKUP(J4,'CSI Counts'!$B$2:$P$51,15,FALSE),"")</f>
        <v/>
      </c>
      <c r="K15" s="2" t="str">
        <f>IFERROR(VLOOKUP(K4,'CSI Counts'!$B$2:$P$51,15,FALSE),"")</f>
        <v/>
      </c>
      <c r="L15" s="2" t="str">
        <f>IFERROR(VLOOKUP(L4,'CSI Counts'!$B$2:$P$51,15,FALSE),"")</f>
        <v/>
      </c>
      <c r="M15" s="2" t="str">
        <f>IFERROR(VLOOKUP(M4,'CSI Counts'!$B$2:$P$51,15,FALSE),"")</f>
        <v/>
      </c>
      <c r="N15" s="2" t="str">
        <f>IFERROR(VLOOKUP(N4,'CSI Counts'!$B$2:$P$51,15,FALSE),"")</f>
        <v/>
      </c>
    </row>
    <row r="16" spans="1:14" x14ac:dyDescent="0.2">
      <c r="A16" s="1"/>
      <c r="B16" s="9"/>
      <c r="C16" s="9"/>
    </row>
    <row r="17" spans="1:14" x14ac:dyDescent="0.2">
      <c r="A17" s="1" t="s">
        <v>7</v>
      </c>
      <c r="B17" s="8" t="e">
        <f>VLOOKUP(B5,Inputs,7,3)</f>
        <v>#N/A</v>
      </c>
      <c r="C17" s="8"/>
    </row>
    <row r="18" spans="1:14" x14ac:dyDescent="0.2">
      <c r="A18" t="s">
        <v>12</v>
      </c>
      <c r="B18" t="e">
        <f>ROUND(B17/B9,2)</f>
        <v>#N/A</v>
      </c>
    </row>
    <row r="20" spans="1:14" x14ac:dyDescent="0.2">
      <c r="A20" t="s">
        <v>4</v>
      </c>
      <c r="B20" s="10" t="e">
        <f>VLOOKUP(B5,Inputs,8,3)</f>
        <v>#N/A</v>
      </c>
      <c r="C20" s="6">
        <f>SUM(E20:N20)</f>
        <v>0</v>
      </c>
      <c r="E20" s="2" t="str">
        <f>IFERROR(VLOOKUP(E4,'CSI Counts'!$B$2:$M$51,12,FALSE),"")</f>
        <v/>
      </c>
      <c r="F20" s="2" t="str">
        <f>IFERROR(VLOOKUP(F4,'CSI Counts'!$B$2:$M$51,12,FALSE),"")</f>
        <v/>
      </c>
      <c r="G20" s="2" t="str">
        <f>IFERROR(VLOOKUP(G4,'CSI Counts'!$B$2:$M$51,12,FALSE),"")</f>
        <v/>
      </c>
      <c r="H20" s="2" t="str">
        <f>IFERROR(VLOOKUP(H4,'CSI Counts'!$B$2:$M$51,12,FALSE),"")</f>
        <v/>
      </c>
      <c r="I20" s="2" t="str">
        <f>IFERROR(VLOOKUP(I4,'CSI Counts'!$B$2:$M$51,12,FALSE),"")</f>
        <v/>
      </c>
      <c r="J20" s="2" t="str">
        <f>IFERROR(VLOOKUP(J4,'CSI Counts'!$B$2:$M$51,12,FALSE),"")</f>
        <v/>
      </c>
      <c r="K20" s="2" t="str">
        <f>IFERROR(VLOOKUP(K4,'CSI Counts'!$B$2:$M$51,12,FALSE),"")</f>
        <v/>
      </c>
      <c r="L20" s="2" t="str">
        <f>IFERROR(VLOOKUP(L4,'CSI Counts'!$B$2:$M$51,12,FALSE),"")</f>
        <v/>
      </c>
      <c r="M20" s="2" t="str">
        <f>IFERROR(VLOOKUP(M4,'CSI Counts'!$B$2:$M$51,12,FALSE),"")</f>
        <v/>
      </c>
      <c r="N20" s="2" t="str">
        <f>IFERROR(VLOOKUP(N4,'CSI Counts'!$B$2:$M$51,12,FALSE),"")</f>
        <v/>
      </c>
    </row>
    <row r="21" spans="1:14" ht="25.5" x14ac:dyDescent="0.2">
      <c r="A21" s="1" t="s">
        <v>20</v>
      </c>
      <c r="B21" s="11" t="e">
        <f>ROUND(B15/B20,4)</f>
        <v>#N/A</v>
      </c>
      <c r="C21" s="11"/>
      <c r="E21" s="11" t="str">
        <f>IFERROR(E15/E20,"")</f>
        <v/>
      </c>
      <c r="F21" s="11" t="str">
        <f>IFERROR(F15/F20,"")</f>
        <v/>
      </c>
      <c r="G21" s="11" t="str">
        <f t="shared" ref="G21:N21" si="1">IFERROR(G15/G20,"")</f>
        <v/>
      </c>
      <c r="H21" s="11" t="str">
        <f t="shared" si="1"/>
        <v/>
      </c>
      <c r="I21" s="11" t="str">
        <f t="shared" si="1"/>
        <v/>
      </c>
      <c r="J21" s="11" t="str">
        <f t="shared" si="1"/>
        <v/>
      </c>
      <c r="K21" s="11" t="str">
        <f t="shared" si="1"/>
        <v/>
      </c>
      <c r="L21" s="11" t="str">
        <f t="shared" si="1"/>
        <v/>
      </c>
      <c r="M21" s="11" t="str">
        <f t="shared" si="1"/>
        <v/>
      </c>
      <c r="N21" s="11" t="str">
        <f t="shared" si="1"/>
        <v/>
      </c>
    </row>
    <row r="22" spans="1:14" x14ac:dyDescent="0.2">
      <c r="A22" t="s">
        <v>18</v>
      </c>
      <c r="B22" s="8" t="e">
        <f>B37-B13</f>
        <v>#N/A</v>
      </c>
      <c r="C22" s="8"/>
      <c r="E22" s="8" t="str">
        <f>IFERROR(IF(E9=0,0,ROUND(IF(E9=0,"",($B$17/$B$9)*(E21/$B$21)),2)),"")</f>
        <v/>
      </c>
      <c r="F22" s="8" t="str">
        <f>IFERROR(IF(F9=0,0,ROUND(IF(F9=0,"",($B$17/$B$9)*(F21/$B$21)),2)),"")</f>
        <v/>
      </c>
      <c r="G22" s="8" t="str">
        <f t="shared" ref="G22:N22" si="2">IFERROR(IF(G9=0,0,ROUND(IF(G9=0,"",($B$17/$B$9)*(G21/$B$21)),2)),"")</f>
        <v/>
      </c>
      <c r="H22" s="8" t="str">
        <f t="shared" si="2"/>
        <v/>
      </c>
      <c r="I22" s="8" t="str">
        <f t="shared" si="2"/>
        <v/>
      </c>
      <c r="J22" s="8" t="str">
        <f t="shared" si="2"/>
        <v/>
      </c>
      <c r="K22" s="8" t="str">
        <f t="shared" si="2"/>
        <v/>
      </c>
      <c r="L22" s="8" t="str">
        <f t="shared" si="2"/>
        <v/>
      </c>
      <c r="M22" s="8" t="str">
        <f t="shared" si="2"/>
        <v/>
      </c>
      <c r="N22" s="8" t="str">
        <f t="shared" si="2"/>
        <v/>
      </c>
    </row>
    <row r="23" spans="1:14" x14ac:dyDescent="0.2">
      <c r="B23" s="8"/>
      <c r="C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">
      <c r="A24" t="s">
        <v>490</v>
      </c>
      <c r="B24" s="8" t="e">
        <f>VLOOKUP(B5,Inputs!A4:N181,14,FALSE)</f>
        <v>#N/A</v>
      </c>
      <c r="C24" s="8"/>
      <c r="E24" s="2" t="str">
        <f>IFERROR(VLOOKUP(E4,'CSI Counts'!$B$2:$O$51,14,FALSE),"")</f>
        <v/>
      </c>
      <c r="F24" s="2" t="str">
        <f>IFERROR(VLOOKUP(F4,'CSI Counts'!$B$2:$O$51,14,FALSE),"")</f>
        <v/>
      </c>
      <c r="G24" s="2" t="str">
        <f>IFERROR(VLOOKUP(G4,'CSI Counts'!$B$2:$O$51,14,FALSE),"")</f>
        <v/>
      </c>
      <c r="H24" s="2" t="str">
        <f>IFERROR(VLOOKUP(H4,'CSI Counts'!$B$2:$O$51,14,FALSE),"")</f>
        <v/>
      </c>
      <c r="I24" s="2" t="str">
        <f>IFERROR(VLOOKUP(I4,'CSI Counts'!$B$2:$O$51,14,FALSE),"")</f>
        <v/>
      </c>
      <c r="J24" s="2" t="str">
        <f>IFERROR(VLOOKUP(J4,'CSI Counts'!$B$2:$O$51,14,FALSE),"")</f>
        <v/>
      </c>
      <c r="K24" s="2" t="str">
        <f>IFERROR(VLOOKUP(K4,'CSI Counts'!$B$2:$O$51,14,FALSE),"")</f>
        <v/>
      </c>
      <c r="L24" s="2" t="str">
        <f>IFERROR(VLOOKUP(L4,'CSI Counts'!$B$2:$O$51,14,FALSE),"")</f>
        <v/>
      </c>
      <c r="M24" s="2" t="str">
        <f>IFERROR(VLOOKUP(M4,'CSI Counts'!$B$2:$O$51,14,FALSE),"")</f>
        <v/>
      </c>
      <c r="N24" s="2" t="str">
        <f>IFERROR(VLOOKUP(N4,'CSI Counts'!$B$2:$O$51,14,FALSE),"")</f>
        <v/>
      </c>
    </row>
    <row r="25" spans="1:14" x14ac:dyDescent="0.2">
      <c r="A25" t="s">
        <v>491</v>
      </c>
      <c r="B25" s="33" t="e">
        <f>B24/B11</f>
        <v>#N/A</v>
      </c>
      <c r="C25" s="8"/>
      <c r="E25" s="11">
        <f>IFERROR(E24/E20,0)</f>
        <v>0</v>
      </c>
      <c r="F25" s="11">
        <f t="shared" ref="F25:N25" si="3">IFERROR(F24/F20,0)</f>
        <v>0</v>
      </c>
      <c r="G25" s="11">
        <f t="shared" si="3"/>
        <v>0</v>
      </c>
      <c r="H25" s="11">
        <f t="shared" si="3"/>
        <v>0</v>
      </c>
      <c r="I25" s="11">
        <f t="shared" si="3"/>
        <v>0</v>
      </c>
      <c r="J25" s="11">
        <f t="shared" si="3"/>
        <v>0</v>
      </c>
      <c r="K25" s="11">
        <f t="shared" si="3"/>
        <v>0</v>
      </c>
      <c r="L25" s="11">
        <f t="shared" si="3"/>
        <v>0</v>
      </c>
      <c r="M25" s="11">
        <f t="shared" si="3"/>
        <v>0</v>
      </c>
      <c r="N25" s="11">
        <f t="shared" si="3"/>
        <v>0</v>
      </c>
    </row>
    <row r="26" spans="1:14" x14ac:dyDescent="0.2">
      <c r="A26" s="27" t="s">
        <v>493</v>
      </c>
      <c r="B26" s="8" t="e">
        <f>VLOOKUP(B5,Inputs!A4:O183,15,FALSE)</f>
        <v>#N/A</v>
      </c>
      <c r="C26" s="8"/>
      <c r="E26" s="8" t="str">
        <f>IFERROR(IF(E13=0,0,ROUND(IF(E13=0,"",($B$26/$B$9)*(E25/$B$25)),2)),"")</f>
        <v/>
      </c>
      <c r="F26" s="8" t="str">
        <f t="shared" ref="F26:N26" si="4">IFERROR(IF(F13=0,0,ROUND(IF(F13=0,"",($B$26/$B$9)*(F25/$B$25)),2)),"")</f>
        <v/>
      </c>
      <c r="G26" s="8" t="str">
        <f t="shared" si="4"/>
        <v/>
      </c>
      <c r="H26" s="8" t="str">
        <f t="shared" si="4"/>
        <v/>
      </c>
      <c r="I26" s="8" t="str">
        <f t="shared" si="4"/>
        <v/>
      </c>
      <c r="J26" s="8" t="str">
        <f t="shared" si="4"/>
        <v/>
      </c>
      <c r="K26" s="8" t="str">
        <f t="shared" si="4"/>
        <v/>
      </c>
      <c r="L26" s="8" t="str">
        <f t="shared" si="4"/>
        <v/>
      </c>
      <c r="M26" s="8" t="str">
        <f t="shared" si="4"/>
        <v/>
      </c>
      <c r="N26" s="8" t="str">
        <f t="shared" si="4"/>
        <v/>
      </c>
    </row>
    <row r="27" spans="1:14" x14ac:dyDescent="0.2">
      <c r="E27" s="8"/>
      <c r="F27" s="8"/>
    </row>
    <row r="28" spans="1:14" x14ac:dyDescent="0.2">
      <c r="A28" t="s">
        <v>9</v>
      </c>
      <c r="B28" s="8" t="e">
        <f>VLOOKUP(B5,Inputs!A3:M180,9,FALSE)</f>
        <v>#N/A</v>
      </c>
      <c r="C28" s="8"/>
      <c r="E28" s="8"/>
      <c r="F28" s="8"/>
    </row>
    <row r="29" spans="1:14" x14ac:dyDescent="0.2">
      <c r="A29" t="s">
        <v>424</v>
      </c>
      <c r="B29" s="8" t="e">
        <f>VLOOKUP(B5,Inputs!A4:M181,10,FALSE)</f>
        <v>#N/A</v>
      </c>
      <c r="C29" s="8" t="e">
        <f>ROUND(B29/B9,2)</f>
        <v>#N/A</v>
      </c>
      <c r="E29" s="8"/>
      <c r="F29" s="8"/>
    </row>
    <row r="30" spans="1:14" x14ac:dyDescent="0.2">
      <c r="A30" t="s">
        <v>419</v>
      </c>
      <c r="B30" s="8" t="e">
        <f>VLOOKUP(B5,Inputs!A4:M181,12,FALSE)</f>
        <v>#N/A</v>
      </c>
      <c r="C30" s="8"/>
      <c r="E30" s="8"/>
      <c r="F30" s="8"/>
    </row>
    <row r="31" spans="1:14" x14ac:dyDescent="0.2">
      <c r="C31" s="14" t="s">
        <v>421</v>
      </c>
      <c r="E31" s="8"/>
      <c r="F31" s="8"/>
    </row>
    <row r="32" spans="1:14" x14ac:dyDescent="0.2">
      <c r="A32" t="s">
        <v>6</v>
      </c>
      <c r="B32" s="8" t="e">
        <f>B30/B9</f>
        <v>#N/A</v>
      </c>
      <c r="C32" s="8"/>
      <c r="E32" s="8"/>
      <c r="F32" s="8"/>
    </row>
    <row r="33" spans="1:15" x14ac:dyDescent="0.2">
      <c r="B33" s="8"/>
      <c r="C33" s="8"/>
      <c r="E33" s="8"/>
      <c r="F33" s="8"/>
    </row>
    <row r="34" spans="1:15" x14ac:dyDescent="0.2">
      <c r="A34" s="27" t="s">
        <v>494</v>
      </c>
      <c r="B34" s="8" t="e">
        <f>VLOOKUP(B5,Inputs!A4:M181,13,FALSE)</f>
        <v>#N/A</v>
      </c>
      <c r="C34" s="8"/>
      <c r="E34" s="8"/>
      <c r="F34" s="8"/>
    </row>
    <row r="35" spans="1:15" x14ac:dyDescent="0.2">
      <c r="A35" t="s">
        <v>16</v>
      </c>
      <c r="B35" s="8"/>
      <c r="C35" s="6"/>
      <c r="E35" s="8" t="str">
        <f>IFERROR(IF(E9=0,0,E$13+E$22+E$26+$C$29),"")</f>
        <v/>
      </c>
      <c r="F35" s="8" t="str">
        <f t="shared" ref="F35:G35" si="5">IFERROR(IF(F9=0,0,F$13+F$22+F$26+$C$29),"")</f>
        <v/>
      </c>
      <c r="G35" s="8" t="str">
        <f t="shared" si="5"/>
        <v/>
      </c>
      <c r="H35" s="8" t="str">
        <f t="shared" ref="H35:N35" si="6">IFERROR(IF(H9=0,0,H$13+H$22+H$26+$C$29),"")</f>
        <v/>
      </c>
      <c r="I35" s="8" t="str">
        <f t="shared" si="6"/>
        <v/>
      </c>
      <c r="J35" s="8" t="str">
        <f t="shared" si="6"/>
        <v/>
      </c>
      <c r="K35" s="8" t="str">
        <f t="shared" si="6"/>
        <v/>
      </c>
      <c r="L35" s="8" t="str">
        <f t="shared" si="6"/>
        <v/>
      </c>
      <c r="M35" s="8" t="str">
        <f t="shared" si="6"/>
        <v/>
      </c>
      <c r="N35" s="8" t="str">
        <f t="shared" si="6"/>
        <v/>
      </c>
    </row>
    <row r="36" spans="1:15" x14ac:dyDescent="0.2">
      <c r="A36" s="1" t="s">
        <v>422</v>
      </c>
      <c r="B36" s="8"/>
      <c r="C36" s="6"/>
      <c r="E36" s="8" t="e">
        <f>IF($B$34&gt;E35,$B$34,E35)</f>
        <v>#N/A</v>
      </c>
      <c r="F36" s="8" t="e">
        <f t="shared" ref="F36:G36" si="7">IF($B$34&gt;F35,$B$34,F35)</f>
        <v>#N/A</v>
      </c>
      <c r="G36" s="8" t="e">
        <f t="shared" si="7"/>
        <v>#N/A</v>
      </c>
      <c r="H36" s="8" t="e">
        <f t="shared" ref="H36:N36" si="8">IF($B$34&gt;H35,$B$34,H35)</f>
        <v>#N/A</v>
      </c>
      <c r="I36" s="8" t="e">
        <f t="shared" si="8"/>
        <v>#N/A</v>
      </c>
      <c r="J36" s="8" t="e">
        <f t="shared" si="8"/>
        <v>#N/A</v>
      </c>
      <c r="K36" s="8" t="e">
        <f t="shared" si="8"/>
        <v>#N/A</v>
      </c>
      <c r="L36" s="8" t="e">
        <f t="shared" si="8"/>
        <v>#N/A</v>
      </c>
      <c r="M36" s="8" t="e">
        <f t="shared" si="8"/>
        <v>#N/A</v>
      </c>
      <c r="N36" s="8" t="e">
        <f t="shared" si="8"/>
        <v>#N/A</v>
      </c>
    </row>
    <row r="37" spans="1:15" x14ac:dyDescent="0.2">
      <c r="A37" t="s">
        <v>5</v>
      </c>
      <c r="B37" s="8" t="e">
        <f>(B30-C39)/B11</f>
        <v>#N/A</v>
      </c>
      <c r="C37" s="8"/>
      <c r="E37" s="8"/>
      <c r="F37" s="8"/>
    </row>
    <row r="38" spans="1:15" x14ac:dyDescent="0.2">
      <c r="E38" s="8"/>
      <c r="F38" s="8"/>
    </row>
    <row r="39" spans="1:15" x14ac:dyDescent="0.2">
      <c r="A39" t="s">
        <v>14</v>
      </c>
      <c r="C39" s="5">
        <f>SUM(E39:N39)</f>
        <v>0</v>
      </c>
      <c r="E39" s="8" t="str">
        <f t="shared" ref="E39:G39" si="9">IFERROR(E36*E9,"")</f>
        <v/>
      </c>
      <c r="F39" s="8" t="str">
        <f t="shared" si="9"/>
        <v/>
      </c>
      <c r="G39" s="8" t="str">
        <f t="shared" si="9"/>
        <v/>
      </c>
      <c r="H39" s="8" t="str">
        <f t="shared" ref="H39:N39" si="10">IFERROR(H36*H9,"")</f>
        <v/>
      </c>
      <c r="I39" s="8" t="str">
        <f t="shared" si="10"/>
        <v/>
      </c>
      <c r="J39" s="8" t="str">
        <f t="shared" si="10"/>
        <v/>
      </c>
      <c r="K39" s="8" t="str">
        <f t="shared" si="10"/>
        <v/>
      </c>
      <c r="L39" s="8" t="str">
        <f t="shared" si="10"/>
        <v/>
      </c>
      <c r="M39" s="8" t="str">
        <f t="shared" si="10"/>
        <v/>
      </c>
      <c r="N39" s="8" t="str">
        <f t="shared" si="10"/>
        <v/>
      </c>
    </row>
    <row r="40" spans="1:15" x14ac:dyDescent="0.2">
      <c r="A40" t="s">
        <v>15</v>
      </c>
      <c r="C40" s="5">
        <f>SUM(E40:N40)</f>
        <v>0</v>
      </c>
      <c r="E40" s="8" t="str">
        <f t="shared" ref="E40:G40" si="11">IFERROR($B$32*E9,"")</f>
        <v/>
      </c>
      <c r="F40" s="8" t="str">
        <f t="shared" si="11"/>
        <v/>
      </c>
      <c r="G40" s="8" t="str">
        <f t="shared" si="11"/>
        <v/>
      </c>
      <c r="H40" s="8" t="str">
        <f t="shared" ref="H40:N40" si="12">IFERROR($B$32*H9,"")</f>
        <v/>
      </c>
      <c r="I40" s="8" t="str">
        <f t="shared" si="12"/>
        <v/>
      </c>
      <c r="J40" s="8" t="str">
        <f t="shared" si="12"/>
        <v/>
      </c>
      <c r="K40" s="8" t="str">
        <f t="shared" si="12"/>
        <v/>
      </c>
      <c r="L40" s="8" t="str">
        <f t="shared" si="12"/>
        <v/>
      </c>
      <c r="M40" s="8" t="str">
        <f t="shared" si="12"/>
        <v/>
      </c>
      <c r="N40" s="8" t="str">
        <f t="shared" si="12"/>
        <v/>
      </c>
    </row>
    <row r="41" spans="1:15" x14ac:dyDescent="0.2">
      <c r="A41" t="s">
        <v>17</v>
      </c>
      <c r="B41" s="8"/>
      <c r="C41" s="12">
        <f>SUM(E41:N41)</f>
        <v>0</v>
      </c>
      <c r="E41" s="8" t="str">
        <f>IFERROR(E39-E40,"")</f>
        <v/>
      </c>
      <c r="F41" s="8" t="str">
        <f>IFERROR(F39-F40,"")</f>
        <v/>
      </c>
      <c r="G41" s="8" t="str">
        <f t="shared" ref="G41" si="13">IFERROR(G39-G40,"")</f>
        <v/>
      </c>
      <c r="H41" s="8" t="str">
        <f t="shared" ref="H41:N41" si="14">IFERROR(H39-H40,"")</f>
        <v/>
      </c>
      <c r="I41" s="8" t="str">
        <f t="shared" si="14"/>
        <v/>
      </c>
      <c r="J41" s="8" t="str">
        <f t="shared" si="14"/>
        <v/>
      </c>
      <c r="K41" s="8" t="str">
        <f t="shared" si="14"/>
        <v/>
      </c>
      <c r="L41" s="8" t="str">
        <f t="shared" si="14"/>
        <v/>
      </c>
      <c r="M41" s="8" t="str">
        <f t="shared" si="14"/>
        <v/>
      </c>
      <c r="N41" s="8" t="str">
        <f t="shared" si="14"/>
        <v/>
      </c>
      <c r="O41" s="8">
        <f>SUM(E41:N41)</f>
        <v>0</v>
      </c>
    </row>
    <row r="42" spans="1:15" x14ac:dyDescent="0.2">
      <c r="A42" t="s">
        <v>8</v>
      </c>
      <c r="B42" s="8" t="e">
        <f>B28-C39+B29</f>
        <v>#N/A</v>
      </c>
      <c r="C42" s="5">
        <f>SUM(E42:N42)</f>
        <v>0</v>
      </c>
      <c r="E42" s="8" t="str">
        <f t="shared" ref="E42:G42" si="15">IFERROR(E36*E9,"")</f>
        <v/>
      </c>
      <c r="F42" s="8" t="str">
        <f t="shared" si="15"/>
        <v/>
      </c>
      <c r="G42" s="8" t="str">
        <f t="shared" si="15"/>
        <v/>
      </c>
      <c r="H42" s="8" t="str">
        <f t="shared" ref="H42:N42" si="16">IFERROR(H36*H9,"")</f>
        <v/>
      </c>
      <c r="I42" s="8" t="str">
        <f t="shared" si="16"/>
        <v/>
      </c>
      <c r="J42" s="8" t="str">
        <f t="shared" si="16"/>
        <v/>
      </c>
      <c r="K42" s="8" t="str">
        <f t="shared" si="16"/>
        <v/>
      </c>
      <c r="L42" s="8" t="str">
        <f t="shared" si="16"/>
        <v/>
      </c>
      <c r="M42" s="8" t="str">
        <f t="shared" si="16"/>
        <v/>
      </c>
      <c r="N42" s="8" t="str">
        <f t="shared" si="16"/>
        <v/>
      </c>
      <c r="O42" s="8">
        <f>O41/7</f>
        <v>0</v>
      </c>
    </row>
    <row r="44" spans="1:15" x14ac:dyDescent="0.2">
      <c r="C44" s="5"/>
      <c r="E44" s="8" t="str">
        <f>IFERROR(ROUND(E41/7,2),"")</f>
        <v/>
      </c>
      <c r="F44" s="8" t="str">
        <f t="shared" ref="F44:G44" si="17">IFERROR(ROUND(F41/6,2),"")</f>
        <v/>
      </c>
      <c r="G44" s="8" t="str">
        <f t="shared" si="17"/>
        <v/>
      </c>
      <c r="H44" s="8" t="str">
        <f t="shared" ref="H44:N44" si="18">IFERROR(ROUND(H41/6,2),"")</f>
        <v/>
      </c>
      <c r="I44" s="8" t="str">
        <f t="shared" si="18"/>
        <v/>
      </c>
      <c r="J44" s="8" t="str">
        <f t="shared" si="18"/>
        <v/>
      </c>
      <c r="K44" s="8" t="str">
        <f t="shared" si="18"/>
        <v/>
      </c>
      <c r="L44" s="8" t="str">
        <f t="shared" si="18"/>
        <v/>
      </c>
      <c r="M44" s="8" t="str">
        <f t="shared" si="18"/>
        <v/>
      </c>
      <c r="N44" s="8" t="str">
        <f t="shared" si="18"/>
        <v/>
      </c>
      <c r="O44" s="8">
        <f>SUM(E44:N44)</f>
        <v>0</v>
      </c>
    </row>
    <row r="45" spans="1:15" x14ac:dyDescent="0.2">
      <c r="O45" s="8"/>
    </row>
  </sheetData>
  <phoneticPr fontId="0" type="noConversion"/>
  <pageMargins left="0.5" right="0.5" top="0.75" bottom="0.75" header="0.25" footer="0.25"/>
  <pageSetup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3"/>
  <sheetViews>
    <sheetView zoomScale="85" workbookViewId="0">
      <pane xSplit="3" ySplit="2" topLeftCell="D3" activePane="bottomRight" state="frozen"/>
      <selection activeCell="A4" sqref="A4"/>
      <selection pane="topRight" activeCell="A4" sqref="A4"/>
      <selection pane="bottomLeft" activeCell="A4" sqref="A4"/>
      <selection pane="bottomRight" activeCell="A2" sqref="A2"/>
    </sheetView>
  </sheetViews>
  <sheetFormatPr defaultColWidth="9.140625" defaultRowHeight="12.75" x14ac:dyDescent="0.2"/>
  <cols>
    <col min="1" max="1" width="8.42578125" customWidth="1"/>
    <col min="2" max="2" width="14.28515625" bestFit="1" customWidth="1"/>
    <col min="3" max="3" width="21.85546875" bestFit="1" customWidth="1"/>
    <col min="4" max="5" width="10.85546875" bestFit="1" customWidth="1"/>
    <col min="6" max="6" width="12.42578125" style="5" bestFit="1" customWidth="1"/>
    <col min="7" max="7" width="14.5703125" bestFit="1" customWidth="1"/>
    <col min="8" max="8" width="13.140625" bestFit="1" customWidth="1"/>
    <col min="9" max="9" width="16.140625" bestFit="1" customWidth="1"/>
    <col min="10" max="10" width="16.7109375" style="29" bestFit="1" customWidth="1"/>
    <col min="11" max="11" width="16.7109375" style="29" customWidth="1"/>
    <col min="12" max="12" width="17.28515625" bestFit="1" customWidth="1"/>
    <col min="13" max="13" width="22.7109375" bestFit="1" customWidth="1"/>
    <col min="15" max="15" width="13.5703125" style="29" bestFit="1" customWidth="1"/>
  </cols>
  <sheetData>
    <row r="1" spans="1:15" x14ac:dyDescent="0.2">
      <c r="D1" t="s">
        <v>481</v>
      </c>
      <c r="E1" t="s">
        <v>482</v>
      </c>
      <c r="F1" s="5" t="s">
        <v>483</v>
      </c>
      <c r="G1" t="s">
        <v>484</v>
      </c>
      <c r="H1" t="s">
        <v>485</v>
      </c>
      <c r="I1" t="s">
        <v>486</v>
      </c>
      <c r="J1" s="29" t="s">
        <v>487</v>
      </c>
      <c r="K1" s="29" t="s">
        <v>488</v>
      </c>
      <c r="L1" t="s">
        <v>489</v>
      </c>
      <c r="N1" t="s">
        <v>514</v>
      </c>
      <c r="O1" s="29" t="s">
        <v>515</v>
      </c>
    </row>
    <row r="2" spans="1:15" ht="51" x14ac:dyDescent="0.2">
      <c r="A2" s="22" t="s">
        <v>232</v>
      </c>
      <c r="B2" s="22" t="s">
        <v>413</v>
      </c>
      <c r="C2" s="22" t="s">
        <v>414</v>
      </c>
      <c r="D2" s="23" t="s">
        <v>3</v>
      </c>
      <c r="E2" s="23" t="s">
        <v>411</v>
      </c>
      <c r="F2" s="24" t="s">
        <v>13</v>
      </c>
      <c r="G2" s="23" t="s">
        <v>7</v>
      </c>
      <c r="H2" s="23" t="s">
        <v>4</v>
      </c>
      <c r="I2" s="25" t="s">
        <v>9</v>
      </c>
      <c r="J2" s="26" t="s">
        <v>420</v>
      </c>
      <c r="K2" s="26" t="s">
        <v>425</v>
      </c>
      <c r="L2" s="23" t="s">
        <v>427</v>
      </c>
      <c r="M2" s="23" t="s">
        <v>426</v>
      </c>
      <c r="N2" s="23" t="s">
        <v>492</v>
      </c>
      <c r="O2" s="26" t="s">
        <v>493</v>
      </c>
    </row>
    <row r="4" spans="1:15" x14ac:dyDescent="0.2">
      <c r="A4" s="27" t="s">
        <v>233</v>
      </c>
      <c r="B4" s="28" t="s">
        <v>21</v>
      </c>
      <c r="C4" s="28" t="s">
        <v>22</v>
      </c>
      <c r="D4" s="6">
        <v>8721</v>
      </c>
      <c r="E4" s="6">
        <v>4303.3999999999996</v>
      </c>
      <c r="F4" s="29">
        <v>8922.6742689828825</v>
      </c>
      <c r="G4" s="29">
        <v>4939730.78</v>
      </c>
      <c r="H4" s="6">
        <v>8478</v>
      </c>
      <c r="I4" s="29">
        <v>83155437.340000004</v>
      </c>
      <c r="J4" s="29">
        <v>-4932634.8843215303</v>
      </c>
      <c r="K4" s="29">
        <v>0</v>
      </c>
      <c r="L4" s="29">
        <v>78222802.455678478</v>
      </c>
      <c r="M4" s="29">
        <v>8527.58</v>
      </c>
      <c r="N4" s="32">
        <v>1197</v>
      </c>
      <c r="O4" s="29">
        <v>854435.28799780086</v>
      </c>
    </row>
    <row r="5" spans="1:15" x14ac:dyDescent="0.2">
      <c r="A5" s="27" t="s">
        <v>234</v>
      </c>
      <c r="B5" s="28" t="s">
        <v>21</v>
      </c>
      <c r="C5" s="28" t="s">
        <v>23</v>
      </c>
      <c r="D5" s="6">
        <v>41640.400000000001</v>
      </c>
      <c r="E5" s="6">
        <v>16058.1</v>
      </c>
      <c r="F5" s="29">
        <v>8954.8145109100005</v>
      </c>
      <c r="G5" s="29">
        <v>17296802.350000001</v>
      </c>
      <c r="H5" s="6">
        <v>39513</v>
      </c>
      <c r="I5" s="29">
        <v>392739172.85000002</v>
      </c>
      <c r="J5" s="29">
        <v>-23296599.794414517</v>
      </c>
      <c r="K5" s="29">
        <v>0</v>
      </c>
      <c r="L5" s="29">
        <v>369442573.0555855</v>
      </c>
      <c r="M5" s="29">
        <v>8527.58</v>
      </c>
      <c r="N5" s="32">
        <v>3578</v>
      </c>
      <c r="O5" s="29">
        <v>2563226.1056028786</v>
      </c>
    </row>
    <row r="6" spans="1:15" x14ac:dyDescent="0.2">
      <c r="A6" s="27" t="s">
        <v>235</v>
      </c>
      <c r="B6" s="28" t="s">
        <v>21</v>
      </c>
      <c r="C6" s="28" t="s">
        <v>24</v>
      </c>
      <c r="D6" s="6">
        <v>6923.1</v>
      </c>
      <c r="E6" s="6">
        <v>4628.3999999999996</v>
      </c>
      <c r="F6" s="29">
        <v>8847.6342439599994</v>
      </c>
      <c r="G6" s="29">
        <v>7115273.4699999997</v>
      </c>
      <c r="H6" s="6">
        <v>6136</v>
      </c>
      <c r="I6" s="29">
        <v>69438404.310000002</v>
      </c>
      <c r="J6" s="29">
        <v>-4118964.5123346602</v>
      </c>
      <c r="K6" s="29">
        <v>0</v>
      </c>
      <c r="L6" s="29">
        <v>65319439.797665343</v>
      </c>
      <c r="M6" s="29">
        <v>8527.58</v>
      </c>
      <c r="N6" s="32">
        <v>1512</v>
      </c>
      <c r="O6" s="29">
        <v>1070209.8381494014</v>
      </c>
    </row>
    <row r="7" spans="1:15" x14ac:dyDescent="0.2">
      <c r="A7" s="27" t="s">
        <v>236</v>
      </c>
      <c r="B7" s="28" t="s">
        <v>21</v>
      </c>
      <c r="C7" s="28" t="s">
        <v>25</v>
      </c>
      <c r="D7" s="6">
        <v>20539.5</v>
      </c>
      <c r="E7" s="6">
        <v>6293.1</v>
      </c>
      <c r="F7" s="29">
        <v>8873.88731611</v>
      </c>
      <c r="G7" s="29">
        <v>6701311.2300000004</v>
      </c>
      <c r="H7" s="6">
        <v>20183</v>
      </c>
      <c r="I7" s="29">
        <v>190271336.15000001</v>
      </c>
      <c r="J7" s="29">
        <v>-11286562.372855151</v>
      </c>
      <c r="K7" s="29">
        <v>0</v>
      </c>
      <c r="L7" s="29">
        <v>178984773.77714485</v>
      </c>
      <c r="M7" s="29">
        <v>8527.58</v>
      </c>
      <c r="N7" s="32">
        <v>1838</v>
      </c>
      <c r="O7" s="29">
        <v>1304816.3909608144</v>
      </c>
    </row>
    <row r="8" spans="1:15" x14ac:dyDescent="0.2">
      <c r="A8" s="27" t="s">
        <v>237</v>
      </c>
      <c r="B8" s="28" t="s">
        <v>21</v>
      </c>
      <c r="C8" s="28" t="s">
        <v>26</v>
      </c>
      <c r="D8" s="6">
        <v>1221</v>
      </c>
      <c r="E8" s="6">
        <v>318.89999999999998</v>
      </c>
      <c r="F8" s="29">
        <v>9499.0151317399996</v>
      </c>
      <c r="G8" s="29">
        <v>363508.31</v>
      </c>
      <c r="H8" s="6">
        <v>1196</v>
      </c>
      <c r="I8" s="29">
        <v>12037010.890000001</v>
      </c>
      <c r="J8" s="29">
        <v>-714014.40144205187</v>
      </c>
      <c r="K8" s="29">
        <v>0</v>
      </c>
      <c r="L8" s="29">
        <v>11322996.48855795</v>
      </c>
      <c r="M8" s="29">
        <v>8527.58</v>
      </c>
      <c r="N8" s="32">
        <v>100</v>
      </c>
      <c r="O8" s="29">
        <v>75992.121053919996</v>
      </c>
    </row>
    <row r="9" spans="1:15" x14ac:dyDescent="0.2">
      <c r="A9" s="27" t="s">
        <v>238</v>
      </c>
      <c r="B9" s="28" t="s">
        <v>21</v>
      </c>
      <c r="C9" s="28" t="s">
        <v>27</v>
      </c>
      <c r="D9" s="6">
        <v>1112</v>
      </c>
      <c r="E9" s="6">
        <v>278</v>
      </c>
      <c r="F9" s="29">
        <v>9482.1326437900007</v>
      </c>
      <c r="G9" s="29">
        <v>316323.94</v>
      </c>
      <c r="H9" s="6">
        <v>1089</v>
      </c>
      <c r="I9" s="29">
        <v>10908210.699999999</v>
      </c>
      <c r="J9" s="29">
        <v>-647055.9514268483</v>
      </c>
      <c r="K9" s="29">
        <v>0</v>
      </c>
      <c r="L9" s="29">
        <v>10261154.74857315</v>
      </c>
      <c r="M9" s="29">
        <v>8527.58</v>
      </c>
      <c r="N9" s="32">
        <v>66</v>
      </c>
      <c r="O9" s="29">
        <v>50065.660359211208</v>
      </c>
    </row>
    <row r="10" spans="1:15" x14ac:dyDescent="0.2">
      <c r="A10" s="27" t="s">
        <v>239</v>
      </c>
      <c r="B10" s="28" t="s">
        <v>21</v>
      </c>
      <c r="C10" s="28" t="s">
        <v>28</v>
      </c>
      <c r="D10" s="6">
        <v>9617.4</v>
      </c>
      <c r="E10" s="6">
        <v>6523.9</v>
      </c>
      <c r="F10" s="29">
        <v>8864.8084417499995</v>
      </c>
      <c r="G10" s="29">
        <v>9973014.9900000002</v>
      </c>
      <c r="H10" s="6">
        <v>8716</v>
      </c>
      <c r="I10" s="29">
        <v>96281951.700000003</v>
      </c>
      <c r="J10" s="29">
        <v>-5711276.7231822321</v>
      </c>
      <c r="K10" s="29">
        <v>0</v>
      </c>
      <c r="L10" s="29">
        <v>90570674.976817772</v>
      </c>
      <c r="M10" s="29">
        <v>8527.58</v>
      </c>
      <c r="N10" s="32">
        <v>1485</v>
      </c>
      <c r="O10" s="29">
        <v>1053139.2428798999</v>
      </c>
    </row>
    <row r="11" spans="1:15" x14ac:dyDescent="0.2">
      <c r="A11" s="27" t="s">
        <v>240</v>
      </c>
      <c r="B11" s="28" t="s">
        <v>29</v>
      </c>
      <c r="C11" s="28" t="s">
        <v>29</v>
      </c>
      <c r="D11" s="6">
        <v>2356.4</v>
      </c>
      <c r="E11" s="6">
        <v>1301.0999999999999</v>
      </c>
      <c r="F11" s="29">
        <v>8470.4902834099994</v>
      </c>
      <c r="G11" s="29">
        <v>1572578.71</v>
      </c>
      <c r="H11" s="6">
        <v>2170</v>
      </c>
      <c r="I11" s="29">
        <v>21647640.68</v>
      </c>
      <c r="J11" s="29">
        <v>-1284100.1261869599</v>
      </c>
      <c r="K11" s="29">
        <v>0</v>
      </c>
      <c r="L11" s="29">
        <v>20363540.55381304</v>
      </c>
      <c r="M11" s="29">
        <v>8527.58</v>
      </c>
      <c r="N11" s="32">
        <v>170</v>
      </c>
      <c r="O11" s="29">
        <v>115198.66785437599</v>
      </c>
    </row>
    <row r="12" spans="1:15" x14ac:dyDescent="0.2">
      <c r="A12" s="27" t="s">
        <v>241</v>
      </c>
      <c r="B12" s="28" t="s">
        <v>29</v>
      </c>
      <c r="C12" s="28" t="s">
        <v>30</v>
      </c>
      <c r="D12" s="6">
        <v>268.2</v>
      </c>
      <c r="E12" s="6">
        <v>125</v>
      </c>
      <c r="F12" s="29">
        <v>12407.0173672</v>
      </c>
      <c r="G12" s="29">
        <v>186105.26</v>
      </c>
      <c r="H12" s="6">
        <v>233</v>
      </c>
      <c r="I12" s="29">
        <v>3518630.13</v>
      </c>
      <c r="J12" s="29">
        <v>-208718.97592575153</v>
      </c>
      <c r="K12" s="29">
        <v>0</v>
      </c>
      <c r="L12" s="29">
        <v>3309911.1540742484</v>
      </c>
      <c r="M12" s="29">
        <v>8527.58</v>
      </c>
      <c r="N12" s="32">
        <v>5</v>
      </c>
      <c r="O12" s="29">
        <v>4962.8069468800004</v>
      </c>
    </row>
    <row r="13" spans="1:15" x14ac:dyDescent="0.2">
      <c r="A13" s="27" t="s">
        <v>242</v>
      </c>
      <c r="B13" s="28" t="s">
        <v>31</v>
      </c>
      <c r="C13" s="28" t="s">
        <v>32</v>
      </c>
      <c r="D13" s="6">
        <v>2452.4</v>
      </c>
      <c r="E13" s="6">
        <v>1285.2</v>
      </c>
      <c r="F13" s="29">
        <v>9188.7860059199993</v>
      </c>
      <c r="G13" s="29">
        <v>1653888.21</v>
      </c>
      <c r="H13" s="6">
        <v>2200</v>
      </c>
      <c r="I13" s="29">
        <v>24276937.670000002</v>
      </c>
      <c r="J13" s="29">
        <v>-1440065.4180425894</v>
      </c>
      <c r="K13" s="29">
        <v>0</v>
      </c>
      <c r="L13" s="29">
        <v>22836872.251957413</v>
      </c>
      <c r="M13" s="29">
        <v>8527.58</v>
      </c>
      <c r="N13" s="32">
        <v>121</v>
      </c>
      <c r="O13" s="29">
        <v>88947.448537305594</v>
      </c>
    </row>
    <row r="14" spans="1:15" x14ac:dyDescent="0.2">
      <c r="A14" s="27" t="s">
        <v>243</v>
      </c>
      <c r="B14" s="28" t="s">
        <v>31</v>
      </c>
      <c r="C14" s="28" t="s">
        <v>33</v>
      </c>
      <c r="D14" s="6">
        <v>1226.9000000000001</v>
      </c>
      <c r="E14" s="6">
        <v>962.6</v>
      </c>
      <c r="F14" s="29">
        <v>9680.5616071700006</v>
      </c>
      <c r="G14" s="29">
        <v>1964887.02</v>
      </c>
      <c r="H14" s="6">
        <v>1055</v>
      </c>
      <c r="I14" s="29">
        <v>13947292.57</v>
      </c>
      <c r="J14" s="29">
        <v>-827328.96456702682</v>
      </c>
      <c r="K14" s="29">
        <v>0</v>
      </c>
      <c r="L14" s="29">
        <v>13119963.605432974</v>
      </c>
      <c r="M14" s="29">
        <v>8527.58</v>
      </c>
      <c r="N14" s="32">
        <v>136</v>
      </c>
      <c r="O14" s="29">
        <v>105324.51028600961</v>
      </c>
    </row>
    <row r="15" spans="1:15" x14ac:dyDescent="0.2">
      <c r="A15" s="27" t="s">
        <v>244</v>
      </c>
      <c r="B15" s="28" t="s">
        <v>31</v>
      </c>
      <c r="C15" s="28" t="s">
        <v>34</v>
      </c>
      <c r="D15" s="6">
        <v>53666.5</v>
      </c>
      <c r="E15" s="6">
        <v>14549.2</v>
      </c>
      <c r="F15" s="29">
        <v>9217.4047513599999</v>
      </c>
      <c r="G15" s="29">
        <v>16092703.83</v>
      </c>
      <c r="H15" s="6">
        <v>51593</v>
      </c>
      <c r="I15" s="29">
        <v>513562801.12</v>
      </c>
      <c r="J15" s="29">
        <v>-30463645.783459146</v>
      </c>
      <c r="K15" s="29">
        <v>0</v>
      </c>
      <c r="L15" s="29">
        <v>483099155.33654088</v>
      </c>
      <c r="M15" s="29">
        <v>8527.58</v>
      </c>
      <c r="N15" s="32">
        <v>3818</v>
      </c>
      <c r="O15" s="29">
        <v>2815364.1072553983</v>
      </c>
    </row>
    <row r="16" spans="1:15" x14ac:dyDescent="0.2">
      <c r="A16" s="27" t="s">
        <v>245</v>
      </c>
      <c r="B16" s="28" t="s">
        <v>31</v>
      </c>
      <c r="C16" s="28" t="s">
        <v>35</v>
      </c>
      <c r="D16" s="6">
        <v>14278.7</v>
      </c>
      <c r="E16" s="6">
        <v>1807.8</v>
      </c>
      <c r="F16" s="29">
        <v>8997.4933298399992</v>
      </c>
      <c r="G16" s="29">
        <v>1951880.21</v>
      </c>
      <c r="H16" s="6">
        <v>13293</v>
      </c>
      <c r="I16" s="29">
        <v>130647526.05</v>
      </c>
      <c r="J16" s="29">
        <v>-7749782.3973868331</v>
      </c>
      <c r="K16" s="29">
        <v>0</v>
      </c>
      <c r="L16" s="29">
        <v>122897743.65261316</v>
      </c>
      <c r="M16" s="29">
        <v>8527.58</v>
      </c>
      <c r="N16" s="32">
        <v>310</v>
      </c>
      <c r="O16" s="29">
        <v>223137.83458003198</v>
      </c>
    </row>
    <row r="17" spans="1:15" x14ac:dyDescent="0.2">
      <c r="A17" s="27" t="s">
        <v>246</v>
      </c>
      <c r="B17" s="28" t="s">
        <v>31</v>
      </c>
      <c r="C17" s="28" t="s">
        <v>36</v>
      </c>
      <c r="D17" s="6">
        <v>273.5</v>
      </c>
      <c r="E17" s="6">
        <v>109.7</v>
      </c>
      <c r="F17" s="29">
        <v>13192.102664399999</v>
      </c>
      <c r="G17" s="29">
        <v>173660.84</v>
      </c>
      <c r="H17" s="6">
        <v>265</v>
      </c>
      <c r="I17" s="29">
        <v>3799642.18</v>
      </c>
      <c r="J17" s="29">
        <v>-225388.11849880058</v>
      </c>
      <c r="K17" s="29">
        <v>0</v>
      </c>
      <c r="L17" s="29">
        <v>3574254.0615011994</v>
      </c>
      <c r="M17" s="29">
        <v>8527.58</v>
      </c>
      <c r="N17" s="32">
        <v>17</v>
      </c>
      <c r="O17" s="29">
        <v>17941.259623583999</v>
      </c>
    </row>
    <row r="18" spans="1:15" x14ac:dyDescent="0.2">
      <c r="A18" s="27" t="s">
        <v>247</v>
      </c>
      <c r="B18" s="28" t="s">
        <v>31</v>
      </c>
      <c r="C18" s="28" t="s">
        <v>37</v>
      </c>
      <c r="D18" s="6">
        <v>38967.599999999999</v>
      </c>
      <c r="E18" s="6">
        <v>27234.1</v>
      </c>
      <c r="F18" s="29">
        <v>9082.7430895899997</v>
      </c>
      <c r="G18" s="29">
        <v>41664944.93</v>
      </c>
      <c r="H18" s="6">
        <v>37307</v>
      </c>
      <c r="I18" s="29">
        <v>401902386.75999999</v>
      </c>
      <c r="J18" s="29">
        <v>-23840145.592870973</v>
      </c>
      <c r="K18" s="29">
        <v>0</v>
      </c>
      <c r="L18" s="29">
        <v>378062241.16712904</v>
      </c>
      <c r="M18" s="29">
        <v>8527.58</v>
      </c>
      <c r="N18" s="32">
        <v>8711</v>
      </c>
      <c r="O18" s="29">
        <v>6329582.0042734789</v>
      </c>
    </row>
    <row r="19" spans="1:15" x14ac:dyDescent="0.2">
      <c r="A19" s="27" t="s">
        <v>248</v>
      </c>
      <c r="B19" s="28" t="s">
        <v>31</v>
      </c>
      <c r="C19" s="28" t="s">
        <v>38</v>
      </c>
      <c r="D19" s="6">
        <v>4881</v>
      </c>
      <c r="E19" s="6">
        <v>1759.7</v>
      </c>
      <c r="F19" s="29">
        <v>8846.2477390299991</v>
      </c>
      <c r="G19" s="29">
        <v>1868009.06</v>
      </c>
      <c r="H19" s="6">
        <v>5248</v>
      </c>
      <c r="I19" s="29">
        <v>44499622.229999997</v>
      </c>
      <c r="J19" s="29">
        <v>-2639639.6432063766</v>
      </c>
      <c r="K19" s="29">
        <v>0</v>
      </c>
      <c r="L19" s="29">
        <v>41859982.586793616</v>
      </c>
      <c r="M19" s="29">
        <v>8527.58</v>
      </c>
      <c r="N19" s="32">
        <v>59</v>
      </c>
      <c r="O19" s="29">
        <v>41754.289328221595</v>
      </c>
    </row>
    <row r="20" spans="1:15" x14ac:dyDescent="0.2">
      <c r="A20" s="27" t="s">
        <v>249</v>
      </c>
      <c r="B20" s="28" t="s">
        <v>39</v>
      </c>
      <c r="C20" s="28" t="s">
        <v>39</v>
      </c>
      <c r="D20" s="6">
        <v>1697.9</v>
      </c>
      <c r="E20" s="6">
        <v>842.3</v>
      </c>
      <c r="F20" s="29">
        <v>9083.4317553000001</v>
      </c>
      <c r="G20" s="29">
        <v>975274.98</v>
      </c>
      <c r="H20" s="6">
        <v>1691</v>
      </c>
      <c r="I20" s="29">
        <v>16427084.550000001</v>
      </c>
      <c r="J20" s="29">
        <v>-974425.88110894593</v>
      </c>
      <c r="K20" s="29">
        <v>0</v>
      </c>
      <c r="L20" s="29">
        <v>15452658.668891056</v>
      </c>
      <c r="M20" s="29">
        <v>8527.58</v>
      </c>
      <c r="N20" s="32">
        <v>41</v>
      </c>
      <c r="O20" s="29">
        <v>29793.656157384001</v>
      </c>
    </row>
    <row r="21" spans="1:15" x14ac:dyDescent="0.2">
      <c r="A21" s="27" t="s">
        <v>250</v>
      </c>
      <c r="B21" s="28" t="s">
        <v>40</v>
      </c>
      <c r="C21" s="28" t="s">
        <v>41</v>
      </c>
      <c r="D21" s="6">
        <v>147.5</v>
      </c>
      <c r="E21" s="6">
        <v>78.400000000000006</v>
      </c>
      <c r="F21" s="29">
        <v>15652.67260552</v>
      </c>
      <c r="G21" s="29">
        <v>147260.34</v>
      </c>
      <c r="H21" s="6">
        <v>143</v>
      </c>
      <c r="I21" s="29">
        <v>2457281.7599999998</v>
      </c>
      <c r="J21" s="29">
        <v>-145761.64972140119</v>
      </c>
      <c r="K21" s="29">
        <v>0</v>
      </c>
      <c r="L21" s="29">
        <v>2311520.1102785985</v>
      </c>
      <c r="M21" s="29">
        <v>8527.58</v>
      </c>
      <c r="N21" s="32">
        <v>1</v>
      </c>
      <c r="O21" s="29">
        <v>1252.2138084415999</v>
      </c>
    </row>
    <row r="22" spans="1:15" x14ac:dyDescent="0.2">
      <c r="A22" s="27" t="s">
        <v>251</v>
      </c>
      <c r="B22" s="28" t="s">
        <v>40</v>
      </c>
      <c r="C22" s="28" t="s">
        <v>42</v>
      </c>
      <c r="D22" s="6">
        <v>60</v>
      </c>
      <c r="E22" s="6">
        <v>44.5</v>
      </c>
      <c r="F22" s="29">
        <v>18060.846823849999</v>
      </c>
      <c r="G22" s="29">
        <v>96444.92</v>
      </c>
      <c r="H22" s="6">
        <v>53</v>
      </c>
      <c r="I22" s="29">
        <v>1180095.73</v>
      </c>
      <c r="J22" s="29">
        <v>-70001.211596500536</v>
      </c>
      <c r="K22" s="29">
        <v>0</v>
      </c>
      <c r="L22" s="29">
        <v>1110094.5184034994</v>
      </c>
      <c r="M22" s="29">
        <v>8527.58</v>
      </c>
      <c r="N22" s="32">
        <v>0</v>
      </c>
      <c r="O22" s="29">
        <v>0</v>
      </c>
    </row>
    <row r="23" spans="1:15" x14ac:dyDescent="0.2">
      <c r="A23" s="27" t="s">
        <v>252</v>
      </c>
      <c r="B23" s="28" t="s">
        <v>40</v>
      </c>
      <c r="C23" s="28" t="s">
        <v>43</v>
      </c>
      <c r="D23" s="6">
        <v>280.89999999999998</v>
      </c>
      <c r="E23" s="6">
        <v>145</v>
      </c>
      <c r="F23" s="29">
        <v>11859.405339819999</v>
      </c>
      <c r="G23" s="29">
        <v>206353.65</v>
      </c>
      <c r="H23" s="6">
        <v>248</v>
      </c>
      <c r="I23" s="29">
        <v>3537660.61</v>
      </c>
      <c r="J23" s="29">
        <v>-209847.83066473357</v>
      </c>
      <c r="K23" s="29">
        <v>0</v>
      </c>
      <c r="L23" s="29">
        <v>3327812.7793352664</v>
      </c>
      <c r="M23" s="29">
        <v>8527.58</v>
      </c>
      <c r="N23" s="32">
        <v>0</v>
      </c>
      <c r="O23" s="29">
        <v>0</v>
      </c>
    </row>
    <row r="24" spans="1:15" x14ac:dyDescent="0.2">
      <c r="A24" s="27" t="s">
        <v>253</v>
      </c>
      <c r="B24" s="28" t="s">
        <v>40</v>
      </c>
      <c r="C24" s="28" t="s">
        <v>44</v>
      </c>
      <c r="D24" s="6">
        <v>146.69999999999999</v>
      </c>
      <c r="E24" s="6">
        <v>105</v>
      </c>
      <c r="F24" s="29">
        <v>15569.38738633</v>
      </c>
      <c r="G24" s="29">
        <v>196174.28</v>
      </c>
      <c r="H24" s="6">
        <v>209</v>
      </c>
      <c r="I24" s="29">
        <v>2481448.96</v>
      </c>
      <c r="J24" s="29">
        <v>-147195.20569308067</v>
      </c>
      <c r="K24" s="29">
        <v>0</v>
      </c>
      <c r="L24" s="29">
        <v>2334253.7543069194</v>
      </c>
      <c r="M24" s="29">
        <v>8527.58</v>
      </c>
      <c r="N24" s="32">
        <v>1</v>
      </c>
      <c r="O24" s="29">
        <v>1245.5509909064001</v>
      </c>
    </row>
    <row r="25" spans="1:15" x14ac:dyDescent="0.2">
      <c r="A25" s="27" t="s">
        <v>254</v>
      </c>
      <c r="B25" s="28" t="s">
        <v>40</v>
      </c>
      <c r="C25" s="28" t="s">
        <v>45</v>
      </c>
      <c r="D25" s="6">
        <v>50</v>
      </c>
      <c r="E25" s="6">
        <v>21</v>
      </c>
      <c r="F25" s="29">
        <v>18334.072341489999</v>
      </c>
      <c r="G25" s="29">
        <v>46201.86</v>
      </c>
      <c r="H25" s="6">
        <v>44</v>
      </c>
      <c r="I25" s="29">
        <v>962905.48</v>
      </c>
      <c r="J25" s="29">
        <v>-57117.866406405781</v>
      </c>
      <c r="K25" s="29">
        <v>0</v>
      </c>
      <c r="L25" s="29">
        <v>905787.61359359417</v>
      </c>
      <c r="M25" s="29">
        <v>8527.58</v>
      </c>
      <c r="N25" s="32">
        <v>0</v>
      </c>
      <c r="O25" s="29">
        <v>0</v>
      </c>
    </row>
    <row r="26" spans="1:15" x14ac:dyDescent="0.2">
      <c r="A26" s="27" t="s">
        <v>255</v>
      </c>
      <c r="B26" s="28" t="s">
        <v>46</v>
      </c>
      <c r="C26" s="28" t="s">
        <v>47</v>
      </c>
      <c r="D26" s="6">
        <v>803.9</v>
      </c>
      <c r="E26" s="6">
        <v>556.4</v>
      </c>
      <c r="F26" s="29">
        <v>8943.1434113600008</v>
      </c>
      <c r="G26" s="29">
        <v>826354.23</v>
      </c>
      <c r="H26" s="6">
        <v>774</v>
      </c>
      <c r="I26" s="29">
        <v>7938892.0300000003</v>
      </c>
      <c r="J26" s="29">
        <v>-470921.1691104091</v>
      </c>
      <c r="K26" s="29">
        <v>0</v>
      </c>
      <c r="L26" s="29">
        <v>7467970.8608895913</v>
      </c>
      <c r="M26" s="29">
        <v>8527.58</v>
      </c>
      <c r="N26" s="32">
        <v>0</v>
      </c>
      <c r="O26" s="29">
        <v>0</v>
      </c>
    </row>
    <row r="27" spans="1:15" x14ac:dyDescent="0.2">
      <c r="A27" s="27" t="s">
        <v>256</v>
      </c>
      <c r="B27" s="28" t="s">
        <v>46</v>
      </c>
      <c r="C27" s="28" t="s">
        <v>48</v>
      </c>
      <c r="D27" s="6">
        <v>233.2</v>
      </c>
      <c r="E27" s="6">
        <v>91.7</v>
      </c>
      <c r="F27" s="29">
        <v>12871.35947768</v>
      </c>
      <c r="G27" s="29">
        <v>141636.44</v>
      </c>
      <c r="H27" s="6">
        <v>217</v>
      </c>
      <c r="I27" s="29">
        <v>3146326.6</v>
      </c>
      <c r="J27" s="29">
        <v>-186634.58266923658</v>
      </c>
      <c r="K27" s="29">
        <v>0</v>
      </c>
      <c r="L27" s="29">
        <v>2959692.0173307634</v>
      </c>
      <c r="M27" s="29">
        <v>8527.58</v>
      </c>
      <c r="N27" s="32">
        <v>3</v>
      </c>
      <c r="O27" s="29">
        <v>3089.1262746431998</v>
      </c>
    </row>
    <row r="28" spans="1:15" x14ac:dyDescent="0.2">
      <c r="A28" s="27" t="s">
        <v>257</v>
      </c>
      <c r="B28" s="28" t="s">
        <v>49</v>
      </c>
      <c r="C28" s="28" t="s">
        <v>50</v>
      </c>
      <c r="D28" s="6">
        <v>31069.200000000001</v>
      </c>
      <c r="E28" s="6">
        <v>8829.5</v>
      </c>
      <c r="F28" s="29">
        <v>9022.1453417899993</v>
      </c>
      <c r="G28" s="29">
        <v>9559323.8800000008</v>
      </c>
      <c r="H28" s="6">
        <v>31046</v>
      </c>
      <c r="I28" s="29">
        <v>291301435.06999999</v>
      </c>
      <c r="J28" s="29">
        <v>-17279490.872066226</v>
      </c>
      <c r="K28" s="29">
        <v>0</v>
      </c>
      <c r="L28" s="29">
        <v>274021944.19793379</v>
      </c>
      <c r="M28" s="29">
        <v>8527.58</v>
      </c>
      <c r="N28" s="32">
        <v>1983</v>
      </c>
      <c r="O28" s="29">
        <v>1431273.1370215656</v>
      </c>
    </row>
    <row r="29" spans="1:15" x14ac:dyDescent="0.2">
      <c r="A29" s="27" t="s">
        <v>258</v>
      </c>
      <c r="B29" s="28" t="s">
        <v>49</v>
      </c>
      <c r="C29" s="28" t="s">
        <v>49</v>
      </c>
      <c r="D29" s="6">
        <v>29439.599999999999</v>
      </c>
      <c r="E29" s="6">
        <v>5934.7</v>
      </c>
      <c r="F29" s="29">
        <v>9223.1520515600005</v>
      </c>
      <c r="G29" s="29">
        <v>6568396.8600000003</v>
      </c>
      <c r="H29" s="6">
        <v>28113</v>
      </c>
      <c r="I29" s="29">
        <v>278840263.13</v>
      </c>
      <c r="J29" s="29">
        <v>-16540315.980117152</v>
      </c>
      <c r="K29" s="29">
        <v>0</v>
      </c>
      <c r="L29" s="29">
        <v>262299947.14988285</v>
      </c>
      <c r="M29" s="29">
        <v>8527.58</v>
      </c>
      <c r="N29" s="32">
        <v>1268</v>
      </c>
      <c r="O29" s="29">
        <v>935596.54411024647</v>
      </c>
    </row>
    <row r="30" spans="1:15" x14ac:dyDescent="0.2">
      <c r="A30" s="27" t="s">
        <v>259</v>
      </c>
      <c r="B30" s="28" t="s">
        <v>51</v>
      </c>
      <c r="C30" s="28" t="s">
        <v>52</v>
      </c>
      <c r="D30" s="6">
        <v>1013</v>
      </c>
      <c r="E30" s="6">
        <v>195.7</v>
      </c>
      <c r="F30" s="29">
        <v>9328.4611280000008</v>
      </c>
      <c r="G30" s="29">
        <v>219069.58</v>
      </c>
      <c r="H30" s="6">
        <v>953</v>
      </c>
      <c r="I30" s="29">
        <v>9685965.0700000003</v>
      </c>
      <c r="J30" s="29">
        <v>-574554.48159394925</v>
      </c>
      <c r="K30" s="29">
        <v>0</v>
      </c>
      <c r="L30" s="29">
        <v>9111410.5884060506</v>
      </c>
      <c r="M30" s="29">
        <v>8527.58</v>
      </c>
      <c r="N30" s="32">
        <v>23</v>
      </c>
      <c r="O30" s="29">
        <v>17164.368475520001</v>
      </c>
    </row>
    <row r="31" spans="1:15" x14ac:dyDescent="0.2">
      <c r="A31" s="27" t="s">
        <v>260</v>
      </c>
      <c r="B31" s="28" t="s">
        <v>51</v>
      </c>
      <c r="C31" s="28" t="s">
        <v>53</v>
      </c>
      <c r="D31" s="6">
        <v>1412</v>
      </c>
      <c r="E31" s="6">
        <v>458.4</v>
      </c>
      <c r="F31" s="29">
        <v>9014.0655933899998</v>
      </c>
      <c r="G31" s="29">
        <v>495845.72</v>
      </c>
      <c r="H31" s="6">
        <v>1364</v>
      </c>
      <c r="I31" s="29">
        <v>13238128.84</v>
      </c>
      <c r="J31" s="29">
        <v>-785262.61430551577</v>
      </c>
      <c r="K31" s="29">
        <v>0</v>
      </c>
      <c r="L31" s="29">
        <v>12452866.225694485</v>
      </c>
      <c r="M31" s="29">
        <v>8527.58</v>
      </c>
      <c r="N31" s="32">
        <v>20</v>
      </c>
      <c r="O31" s="29">
        <v>14422.504949423999</v>
      </c>
    </row>
    <row r="32" spans="1:15" x14ac:dyDescent="0.2">
      <c r="A32" s="27" t="s">
        <v>261</v>
      </c>
      <c r="B32" s="28" t="s">
        <v>54</v>
      </c>
      <c r="C32" s="28" t="s">
        <v>55</v>
      </c>
      <c r="D32" s="6">
        <v>102.9</v>
      </c>
      <c r="E32" s="6">
        <v>33.6</v>
      </c>
      <c r="F32" s="29">
        <v>16726.025830220002</v>
      </c>
      <c r="G32" s="29">
        <v>67439.34</v>
      </c>
      <c r="H32" s="6">
        <v>94</v>
      </c>
      <c r="I32" s="29">
        <v>1780533.37</v>
      </c>
      <c r="J32" s="29">
        <v>-105618.12064856822</v>
      </c>
      <c r="K32" s="29">
        <v>0</v>
      </c>
      <c r="L32" s="29">
        <v>1674915.2493514318</v>
      </c>
      <c r="M32" s="29">
        <v>8527.58</v>
      </c>
      <c r="N32" s="32">
        <v>0</v>
      </c>
      <c r="O32" s="29">
        <v>0</v>
      </c>
    </row>
    <row r="33" spans="1:15" x14ac:dyDescent="0.2">
      <c r="A33" s="27" t="s">
        <v>262</v>
      </c>
      <c r="B33" s="28" t="s">
        <v>54</v>
      </c>
      <c r="C33" s="28" t="s">
        <v>54</v>
      </c>
      <c r="D33" s="6">
        <v>178</v>
      </c>
      <c r="E33" s="6">
        <v>53</v>
      </c>
      <c r="F33" s="29">
        <v>15182.613117110001</v>
      </c>
      <c r="G33" s="29">
        <v>96561.42</v>
      </c>
      <c r="H33" s="6">
        <v>174</v>
      </c>
      <c r="I33" s="29">
        <v>2803924.99</v>
      </c>
      <c r="J33" s="29">
        <v>-166323.9189296157</v>
      </c>
      <c r="K33" s="29">
        <v>0</v>
      </c>
      <c r="L33" s="29">
        <v>2637601.0710703847</v>
      </c>
      <c r="M33" s="29">
        <v>8527.58</v>
      </c>
      <c r="N33" s="32">
        <v>4</v>
      </c>
      <c r="O33" s="29">
        <v>4858.4361974752001</v>
      </c>
    </row>
    <row r="34" spans="1:15" x14ac:dyDescent="0.2">
      <c r="A34" s="27" t="s">
        <v>263</v>
      </c>
      <c r="B34" s="28" t="s">
        <v>56</v>
      </c>
      <c r="C34" s="28" t="s">
        <v>56</v>
      </c>
      <c r="D34" s="6">
        <v>686</v>
      </c>
      <c r="E34" s="6">
        <v>135</v>
      </c>
      <c r="F34" s="29">
        <v>10143.79317658</v>
      </c>
      <c r="G34" s="29">
        <v>164329.45000000001</v>
      </c>
      <c r="H34" s="6">
        <v>631</v>
      </c>
      <c r="I34" s="29">
        <v>7129463.5999999996</v>
      </c>
      <c r="J34" s="29">
        <v>-422907.2924729152</v>
      </c>
      <c r="K34" s="29">
        <v>0</v>
      </c>
      <c r="L34" s="29">
        <v>6706556.3075270848</v>
      </c>
      <c r="M34" s="29">
        <v>8527.58</v>
      </c>
      <c r="N34" s="32">
        <v>8</v>
      </c>
      <c r="O34" s="29">
        <v>6492.0276330112001</v>
      </c>
    </row>
    <row r="35" spans="1:15" x14ac:dyDescent="0.2">
      <c r="A35" s="27" t="s">
        <v>264</v>
      </c>
      <c r="B35" s="28" t="s">
        <v>57</v>
      </c>
      <c r="C35" s="28" t="s">
        <v>58</v>
      </c>
      <c r="D35" s="6">
        <v>1060</v>
      </c>
      <c r="E35" s="6">
        <v>604.4</v>
      </c>
      <c r="F35" s="29">
        <v>8847.8836541199998</v>
      </c>
      <c r="G35" s="29">
        <v>764682.95</v>
      </c>
      <c r="H35" s="6">
        <v>1005</v>
      </c>
      <c r="I35" s="29">
        <v>10143439.619999999</v>
      </c>
      <c r="J35" s="29">
        <v>-601691.07056759449</v>
      </c>
      <c r="K35" s="29">
        <v>0</v>
      </c>
      <c r="L35" s="29">
        <v>9541748.5494324043</v>
      </c>
      <c r="M35" s="29">
        <v>8527.58</v>
      </c>
      <c r="N35" s="32">
        <v>0</v>
      </c>
      <c r="O35" s="29">
        <v>0</v>
      </c>
    </row>
    <row r="36" spans="1:15" x14ac:dyDescent="0.2">
      <c r="A36" s="27" t="s">
        <v>265</v>
      </c>
      <c r="B36" s="28" t="s">
        <v>57</v>
      </c>
      <c r="C36" s="28" t="s">
        <v>59</v>
      </c>
      <c r="D36" s="6">
        <v>356</v>
      </c>
      <c r="E36" s="6">
        <v>199.7</v>
      </c>
      <c r="F36" s="29">
        <v>11049.45264861</v>
      </c>
      <c r="G36" s="29">
        <v>264789.08</v>
      </c>
      <c r="H36" s="6">
        <v>339</v>
      </c>
      <c r="I36" s="29">
        <v>4198394.22</v>
      </c>
      <c r="J36" s="29">
        <v>-249041.39104015299</v>
      </c>
      <c r="K36" s="29">
        <v>0</v>
      </c>
      <c r="L36" s="29">
        <v>3949352.8289598469</v>
      </c>
      <c r="M36" s="29">
        <v>8527.58</v>
      </c>
      <c r="N36" s="32">
        <v>0</v>
      </c>
      <c r="O36" s="29">
        <v>0</v>
      </c>
    </row>
    <row r="37" spans="1:15" x14ac:dyDescent="0.2">
      <c r="A37" s="27" t="s">
        <v>266</v>
      </c>
      <c r="B37" s="28" t="s">
        <v>57</v>
      </c>
      <c r="C37" s="28" t="s">
        <v>60</v>
      </c>
      <c r="D37" s="6">
        <v>162</v>
      </c>
      <c r="E37" s="6">
        <v>110.4</v>
      </c>
      <c r="F37" s="29">
        <v>15589.316381230001</v>
      </c>
      <c r="G37" s="29">
        <v>206527.26</v>
      </c>
      <c r="H37" s="6">
        <v>140</v>
      </c>
      <c r="I37" s="29">
        <v>2733243.66</v>
      </c>
      <c r="J37" s="29">
        <v>-162131.22624251302</v>
      </c>
      <c r="K37" s="29">
        <v>0</v>
      </c>
      <c r="L37" s="29">
        <v>2571112.4337574872</v>
      </c>
      <c r="M37" s="29">
        <v>8527.58</v>
      </c>
      <c r="N37" s="32">
        <v>1</v>
      </c>
      <c r="O37" s="29">
        <v>1247.1453104984</v>
      </c>
    </row>
    <row r="38" spans="1:15" x14ac:dyDescent="0.2">
      <c r="A38" s="27" t="s">
        <v>267</v>
      </c>
      <c r="B38" s="28" t="s">
        <v>61</v>
      </c>
      <c r="C38" s="28" t="s">
        <v>62</v>
      </c>
      <c r="D38" s="6">
        <v>214.4</v>
      </c>
      <c r="E38" s="6">
        <v>162.69999999999999</v>
      </c>
      <c r="F38" s="29">
        <v>13788.461575650001</v>
      </c>
      <c r="G38" s="29">
        <v>269205.92</v>
      </c>
      <c r="H38" s="6">
        <v>178</v>
      </c>
      <c r="I38" s="29">
        <v>3226555.16</v>
      </c>
      <c r="J38" s="29">
        <v>-191393.6003165952</v>
      </c>
      <c r="K38" s="29">
        <v>0</v>
      </c>
      <c r="L38" s="29">
        <v>3035161.5596834049</v>
      </c>
      <c r="M38" s="29">
        <v>8527.58</v>
      </c>
      <c r="N38" s="32">
        <v>1</v>
      </c>
      <c r="O38" s="29">
        <v>1103.0769260520001</v>
      </c>
    </row>
    <row r="39" spans="1:15" x14ac:dyDescent="0.2">
      <c r="A39" s="27" t="s">
        <v>268</v>
      </c>
      <c r="B39" s="28" t="s">
        <v>61</v>
      </c>
      <c r="C39" s="28" t="s">
        <v>63</v>
      </c>
      <c r="D39" s="6">
        <v>277.7</v>
      </c>
      <c r="E39" s="6">
        <v>182.4</v>
      </c>
      <c r="F39" s="29">
        <v>12081.532707529999</v>
      </c>
      <c r="G39" s="29">
        <v>264440.59000000003</v>
      </c>
      <c r="H39" s="6">
        <v>236</v>
      </c>
      <c r="I39" s="29">
        <v>3626247.88</v>
      </c>
      <c r="J39" s="29">
        <v>-215102.67234781152</v>
      </c>
      <c r="K39" s="29">
        <v>0</v>
      </c>
      <c r="L39" s="29">
        <v>3411145.2076521884</v>
      </c>
      <c r="M39" s="29">
        <v>8527.58</v>
      </c>
      <c r="N39" s="32">
        <v>7</v>
      </c>
      <c r="O39" s="29">
        <v>6765.658316216799</v>
      </c>
    </row>
    <row r="40" spans="1:15" x14ac:dyDescent="0.2">
      <c r="A40" s="27" t="s">
        <v>269</v>
      </c>
      <c r="B40" s="28" t="s">
        <v>64</v>
      </c>
      <c r="C40" s="28" t="s">
        <v>64</v>
      </c>
      <c r="D40" s="6">
        <v>442.1</v>
      </c>
      <c r="E40" s="6">
        <v>288.10000000000002</v>
      </c>
      <c r="F40" s="29">
        <v>9998.7921295899996</v>
      </c>
      <c r="G40" s="29">
        <v>345678.24</v>
      </c>
      <c r="H40" s="6">
        <v>405</v>
      </c>
      <c r="I40" s="29">
        <v>4766144.24</v>
      </c>
      <c r="J40" s="29">
        <v>-282719.32773088012</v>
      </c>
      <c r="K40" s="29">
        <v>0</v>
      </c>
      <c r="L40" s="29">
        <v>4483424.9122691201</v>
      </c>
      <c r="M40" s="29">
        <v>8527.58</v>
      </c>
      <c r="N40" s="32">
        <v>0</v>
      </c>
      <c r="O40" s="29">
        <v>0</v>
      </c>
    </row>
    <row r="41" spans="1:15" x14ac:dyDescent="0.2">
      <c r="A41" s="27" t="s">
        <v>270</v>
      </c>
      <c r="B41" s="28" t="s">
        <v>65</v>
      </c>
      <c r="C41" s="28" t="s">
        <v>66</v>
      </c>
      <c r="D41" s="6">
        <v>354.6</v>
      </c>
      <c r="E41" s="6">
        <v>165.8</v>
      </c>
      <c r="F41" s="29">
        <v>11427.750810220001</v>
      </c>
      <c r="G41" s="29">
        <v>227366.53</v>
      </c>
      <c r="H41" s="6">
        <v>330</v>
      </c>
      <c r="I41" s="29">
        <v>4279646.97</v>
      </c>
      <c r="J41" s="29">
        <v>-253861.16184429574</v>
      </c>
      <c r="K41" s="29">
        <v>0</v>
      </c>
      <c r="L41" s="29">
        <v>4025785.8081557038</v>
      </c>
      <c r="M41" s="29">
        <v>8527.58</v>
      </c>
      <c r="N41" s="32">
        <v>0</v>
      </c>
      <c r="O41" s="29">
        <v>0</v>
      </c>
    </row>
    <row r="42" spans="1:15" x14ac:dyDescent="0.2">
      <c r="A42" s="27" t="s">
        <v>271</v>
      </c>
      <c r="B42" s="28" t="s">
        <v>67</v>
      </c>
      <c r="C42" s="28" t="s">
        <v>67</v>
      </c>
      <c r="D42" s="6">
        <v>4693.2</v>
      </c>
      <c r="E42" s="6">
        <v>1950.1</v>
      </c>
      <c r="F42" s="29">
        <v>8709.0909724699995</v>
      </c>
      <c r="G42" s="29">
        <v>2073307.1</v>
      </c>
      <c r="H42" s="6">
        <v>4412</v>
      </c>
      <c r="I42" s="29">
        <v>43041567.759999998</v>
      </c>
      <c r="J42" s="29">
        <v>-2553150.4060377162</v>
      </c>
      <c r="K42" s="29">
        <v>0</v>
      </c>
      <c r="L42" s="29">
        <v>40488417.35396228</v>
      </c>
      <c r="M42" s="29">
        <v>8527.58</v>
      </c>
      <c r="N42" s="32">
        <v>136</v>
      </c>
      <c r="O42" s="29">
        <v>94754.909780473594</v>
      </c>
    </row>
    <row r="43" spans="1:15" x14ac:dyDescent="0.2">
      <c r="A43" s="27" t="s">
        <v>272</v>
      </c>
      <c r="B43" s="28" t="s">
        <v>68</v>
      </c>
      <c r="C43" s="28" t="s">
        <v>68</v>
      </c>
      <c r="D43" s="6">
        <v>89410.4</v>
      </c>
      <c r="E43" s="6">
        <v>50608.3</v>
      </c>
      <c r="F43" s="29">
        <v>9089.4761726800007</v>
      </c>
      <c r="G43" s="29">
        <v>68298787.530000001</v>
      </c>
      <c r="H43" s="6">
        <v>83581</v>
      </c>
      <c r="I43" s="29">
        <v>890052632.69000006</v>
      </c>
      <c r="J43" s="29">
        <v>-52796363.116198257</v>
      </c>
      <c r="K43" s="29">
        <v>0</v>
      </c>
      <c r="L43" s="29">
        <v>837256269.57380176</v>
      </c>
      <c r="M43" s="29">
        <v>8527.58</v>
      </c>
      <c r="N43" s="32">
        <v>12625</v>
      </c>
      <c r="O43" s="29">
        <v>9180370.9344068021</v>
      </c>
    </row>
    <row r="44" spans="1:15" x14ac:dyDescent="0.2">
      <c r="A44" s="27" t="s">
        <v>273</v>
      </c>
      <c r="B44" s="28" t="s">
        <v>69</v>
      </c>
      <c r="C44" s="28" t="s">
        <v>69</v>
      </c>
      <c r="D44" s="6">
        <v>244.5</v>
      </c>
      <c r="E44" s="6">
        <v>124.2</v>
      </c>
      <c r="F44" s="29">
        <v>13673.57027919</v>
      </c>
      <c r="G44" s="29">
        <v>203790.89</v>
      </c>
      <c r="H44" s="6">
        <v>240</v>
      </c>
      <c r="I44" s="29">
        <v>3546978.82</v>
      </c>
      <c r="J44" s="29">
        <v>-210400.57055975092</v>
      </c>
      <c r="K44" s="29">
        <v>0</v>
      </c>
      <c r="L44" s="29">
        <v>3336578.2494402491</v>
      </c>
      <c r="M44" s="29">
        <v>8527.58</v>
      </c>
      <c r="N44" s="32">
        <v>0</v>
      </c>
      <c r="O44" s="29">
        <v>0</v>
      </c>
    </row>
    <row r="45" spans="1:15" x14ac:dyDescent="0.2">
      <c r="A45" s="27" t="s">
        <v>274</v>
      </c>
      <c r="B45" s="28" t="s">
        <v>70</v>
      </c>
      <c r="C45" s="28" t="s">
        <v>70</v>
      </c>
      <c r="D45" s="6">
        <v>65815.8</v>
      </c>
      <c r="E45" s="6">
        <v>7049</v>
      </c>
      <c r="F45" s="29">
        <v>9089.4761726800007</v>
      </c>
      <c r="G45" s="29">
        <v>7688606.0999999996</v>
      </c>
      <c r="H45" s="6">
        <v>64244</v>
      </c>
      <c r="I45" s="29">
        <v>606357472.05999994</v>
      </c>
      <c r="J45" s="29">
        <v>-35968063.120431095</v>
      </c>
      <c r="K45" s="29">
        <v>0</v>
      </c>
      <c r="L45" s="29">
        <v>570389408.93956888</v>
      </c>
      <c r="M45" s="29">
        <v>8527.58</v>
      </c>
      <c r="N45" s="32">
        <v>1642</v>
      </c>
      <c r="O45" s="29">
        <v>1193993.5900432449</v>
      </c>
    </row>
    <row r="46" spans="1:15" x14ac:dyDescent="0.2">
      <c r="A46" s="27" t="s">
        <v>275</v>
      </c>
      <c r="B46" s="28" t="s">
        <v>71</v>
      </c>
      <c r="C46" s="28" t="s">
        <v>71</v>
      </c>
      <c r="D46" s="6">
        <v>6966.4</v>
      </c>
      <c r="E46" s="6">
        <v>1890</v>
      </c>
      <c r="F46" s="29">
        <v>9538.5966222700008</v>
      </c>
      <c r="G46" s="29">
        <v>2163353.71</v>
      </c>
      <c r="H46" s="6">
        <v>6702</v>
      </c>
      <c r="I46" s="29">
        <v>69475958.430000007</v>
      </c>
      <c r="J46" s="29">
        <v>-4121192.1569516272</v>
      </c>
      <c r="K46" s="29">
        <v>0</v>
      </c>
      <c r="L46" s="29">
        <v>65354766.273048379</v>
      </c>
      <c r="M46" s="29">
        <v>8527.58</v>
      </c>
      <c r="N46" s="32">
        <v>1133</v>
      </c>
      <c r="O46" s="29">
        <v>864578.39784255286</v>
      </c>
    </row>
    <row r="47" spans="1:15" x14ac:dyDescent="0.2">
      <c r="A47" s="27" t="s">
        <v>276</v>
      </c>
      <c r="B47" s="28" t="s">
        <v>72</v>
      </c>
      <c r="C47" s="28" t="s">
        <v>73</v>
      </c>
      <c r="D47" s="6">
        <v>2250.5</v>
      </c>
      <c r="E47" s="6">
        <v>352.3</v>
      </c>
      <c r="F47" s="29">
        <v>9252.40892781</v>
      </c>
      <c r="G47" s="29">
        <v>391154.84</v>
      </c>
      <c r="H47" s="6">
        <v>2263</v>
      </c>
      <c r="I47" s="29">
        <v>21230185.149999999</v>
      </c>
      <c r="J47" s="29">
        <v>-1259337.3953806555</v>
      </c>
      <c r="K47" s="29">
        <v>0</v>
      </c>
      <c r="L47" s="29">
        <v>19970847.754619341</v>
      </c>
      <c r="M47" s="29">
        <v>8527.58</v>
      </c>
      <c r="N47" s="32">
        <v>23</v>
      </c>
      <c r="O47" s="29">
        <v>17024.432427170403</v>
      </c>
    </row>
    <row r="48" spans="1:15" x14ac:dyDescent="0.2">
      <c r="A48" s="27" t="s">
        <v>277</v>
      </c>
      <c r="B48" s="28" t="s">
        <v>72</v>
      </c>
      <c r="C48" s="28" t="s">
        <v>74</v>
      </c>
      <c r="D48" s="6">
        <v>264.5</v>
      </c>
      <c r="E48" s="6">
        <v>89</v>
      </c>
      <c r="F48" s="29">
        <v>13487.53921631</v>
      </c>
      <c r="G48" s="29">
        <v>144046.92000000001</v>
      </c>
      <c r="H48" s="6">
        <v>248</v>
      </c>
      <c r="I48" s="29">
        <v>3720133.07</v>
      </c>
      <c r="J48" s="29">
        <v>-220671.77736522199</v>
      </c>
      <c r="K48" s="29">
        <v>0</v>
      </c>
      <c r="L48" s="29">
        <v>3499461.2926347777</v>
      </c>
      <c r="M48" s="29">
        <v>8527.58</v>
      </c>
      <c r="N48" s="32">
        <v>8</v>
      </c>
      <c r="O48" s="29">
        <v>8632.0250984384002</v>
      </c>
    </row>
    <row r="49" spans="1:15" x14ac:dyDescent="0.2">
      <c r="A49" s="27" t="s">
        <v>278</v>
      </c>
      <c r="B49" s="28" t="s">
        <v>72</v>
      </c>
      <c r="C49" s="28" t="s">
        <v>75</v>
      </c>
      <c r="D49" s="6">
        <v>310.5</v>
      </c>
      <c r="E49" s="6">
        <v>168.9</v>
      </c>
      <c r="F49" s="29">
        <v>12512.69004971</v>
      </c>
      <c r="G49" s="29">
        <v>253607.2</v>
      </c>
      <c r="H49" s="6">
        <v>303</v>
      </c>
      <c r="I49" s="29">
        <v>4146805.58</v>
      </c>
      <c r="J49" s="29">
        <v>-245981.24328026263</v>
      </c>
      <c r="K49" s="29">
        <v>0</v>
      </c>
      <c r="L49" s="29">
        <v>3900824.3367197374</v>
      </c>
      <c r="M49" s="29">
        <v>8527.58</v>
      </c>
      <c r="N49" s="32">
        <v>8</v>
      </c>
      <c r="O49" s="29">
        <v>8008.1216318143997</v>
      </c>
    </row>
    <row r="50" spans="1:15" x14ac:dyDescent="0.2">
      <c r="A50" s="27" t="s">
        <v>279</v>
      </c>
      <c r="B50" s="28" t="s">
        <v>72</v>
      </c>
      <c r="C50" s="28" t="s">
        <v>72</v>
      </c>
      <c r="D50" s="6">
        <v>259</v>
      </c>
      <c r="E50" s="6">
        <v>71</v>
      </c>
      <c r="F50" s="29">
        <v>13557.689057670001</v>
      </c>
      <c r="G50" s="29">
        <v>115511.51</v>
      </c>
      <c r="H50" s="6">
        <v>252</v>
      </c>
      <c r="I50" s="29">
        <v>3628037.6</v>
      </c>
      <c r="J50" s="29">
        <v>-215208.83540326002</v>
      </c>
      <c r="K50" s="29">
        <v>0</v>
      </c>
      <c r="L50" s="29">
        <v>3412828.7645967402</v>
      </c>
      <c r="M50" s="29">
        <v>8527.58</v>
      </c>
      <c r="N50" s="32">
        <v>1</v>
      </c>
      <c r="O50" s="29">
        <v>1084.6151246136001</v>
      </c>
    </row>
    <row r="51" spans="1:15" x14ac:dyDescent="0.2">
      <c r="A51" s="27" t="s">
        <v>280</v>
      </c>
      <c r="B51" s="28" t="s">
        <v>72</v>
      </c>
      <c r="C51" s="28" t="s">
        <v>76</v>
      </c>
      <c r="D51" s="6">
        <v>74.5</v>
      </c>
      <c r="E51" s="6">
        <v>44.6</v>
      </c>
      <c r="F51" s="29">
        <v>18950.832238030001</v>
      </c>
      <c r="G51" s="29">
        <v>101424.85</v>
      </c>
      <c r="H51" s="6">
        <v>71</v>
      </c>
      <c r="I51" s="29">
        <v>1520842.18</v>
      </c>
      <c r="J51" s="29">
        <v>-90213.694144171794</v>
      </c>
      <c r="K51" s="29">
        <v>0</v>
      </c>
      <c r="L51" s="29">
        <v>1430628.485855828</v>
      </c>
      <c r="M51" s="29">
        <v>8527.58</v>
      </c>
      <c r="N51" s="32">
        <v>5</v>
      </c>
      <c r="O51" s="29">
        <v>7580.3328952120009</v>
      </c>
    </row>
    <row r="52" spans="1:15" x14ac:dyDescent="0.2">
      <c r="A52" s="27" t="s">
        <v>281</v>
      </c>
      <c r="B52" s="28" t="s">
        <v>77</v>
      </c>
      <c r="C52" s="28" t="s">
        <v>78</v>
      </c>
      <c r="D52" s="6">
        <v>445.4</v>
      </c>
      <c r="E52" s="6">
        <v>212</v>
      </c>
      <c r="F52" s="29">
        <v>10638.561487139999</v>
      </c>
      <c r="G52" s="29">
        <v>270645</v>
      </c>
      <c r="H52" s="6">
        <v>424</v>
      </c>
      <c r="I52" s="29">
        <v>5015868.97</v>
      </c>
      <c r="J52" s="29">
        <v>-297532.56128576212</v>
      </c>
      <c r="K52" s="29">
        <v>0</v>
      </c>
      <c r="L52" s="29">
        <v>4718336.4087142376</v>
      </c>
      <c r="M52" s="29">
        <v>8527.58</v>
      </c>
      <c r="N52" s="32">
        <v>8</v>
      </c>
      <c r="O52" s="29">
        <v>6808.6793517695996</v>
      </c>
    </row>
    <row r="53" spans="1:15" x14ac:dyDescent="0.2">
      <c r="A53" s="27" t="s">
        <v>282</v>
      </c>
      <c r="B53" s="28" t="s">
        <v>77</v>
      </c>
      <c r="C53" s="28" t="s">
        <v>79</v>
      </c>
      <c r="D53" s="6">
        <v>13137.8</v>
      </c>
      <c r="E53" s="6">
        <v>7901.3</v>
      </c>
      <c r="F53" s="29">
        <v>8816.8302028300004</v>
      </c>
      <c r="G53" s="29">
        <v>10110999.810000001</v>
      </c>
      <c r="H53" s="6">
        <v>12879</v>
      </c>
      <c r="I53" s="29">
        <v>126548769.06</v>
      </c>
      <c r="J53" s="29">
        <v>-7506651.3123013675</v>
      </c>
      <c r="K53" s="29">
        <v>0</v>
      </c>
      <c r="L53" s="29">
        <v>119042117.74769863</v>
      </c>
      <c r="M53" s="29">
        <v>8527.58</v>
      </c>
      <c r="N53" s="32">
        <v>877</v>
      </c>
      <c r="O53" s="29">
        <v>618588.80703055288</v>
      </c>
    </row>
    <row r="54" spans="1:15" x14ac:dyDescent="0.2">
      <c r="A54" s="27" t="s">
        <v>283</v>
      </c>
      <c r="B54" s="28" t="s">
        <v>77</v>
      </c>
      <c r="C54" s="28" t="s">
        <v>80</v>
      </c>
      <c r="D54" s="6">
        <v>9200.1</v>
      </c>
      <c r="E54" s="6">
        <v>3665.6</v>
      </c>
      <c r="F54" s="29">
        <v>8613.5952517500009</v>
      </c>
      <c r="G54" s="29">
        <v>3802219.42</v>
      </c>
      <c r="H54" s="6">
        <v>8923</v>
      </c>
      <c r="I54" s="29">
        <v>83401143.890000001</v>
      </c>
      <c r="J54" s="29">
        <v>-4947209.7664772309</v>
      </c>
      <c r="K54" s="29">
        <v>0</v>
      </c>
      <c r="L54" s="29">
        <v>78453934.123522773</v>
      </c>
      <c r="M54" s="29">
        <v>8527.58</v>
      </c>
      <c r="N54" s="32">
        <v>133</v>
      </c>
      <c r="O54" s="29">
        <v>91648.653478620021</v>
      </c>
    </row>
    <row r="55" spans="1:15" x14ac:dyDescent="0.2">
      <c r="A55" s="27" t="s">
        <v>284</v>
      </c>
      <c r="B55" s="28" t="s">
        <v>77</v>
      </c>
      <c r="C55" s="28" t="s">
        <v>81</v>
      </c>
      <c r="D55" s="6">
        <v>8183</v>
      </c>
      <c r="E55" s="6">
        <v>3395</v>
      </c>
      <c r="F55" s="29">
        <v>8678.2760006499993</v>
      </c>
      <c r="G55" s="29">
        <v>3582379.83</v>
      </c>
      <c r="H55" s="6">
        <v>7810</v>
      </c>
      <c r="I55" s="29">
        <v>74756426.349999994</v>
      </c>
      <c r="J55" s="29">
        <v>-4434420.2644683393</v>
      </c>
      <c r="K55" s="29">
        <v>0</v>
      </c>
      <c r="L55" s="29">
        <v>70322006.085531652</v>
      </c>
      <c r="M55" s="29">
        <v>8527.58</v>
      </c>
      <c r="N55" s="32">
        <v>230</v>
      </c>
      <c r="O55" s="29">
        <v>159680.27841196</v>
      </c>
    </row>
    <row r="56" spans="1:15" x14ac:dyDescent="0.2">
      <c r="A56" s="27" t="s">
        <v>285</v>
      </c>
      <c r="B56" s="28" t="s">
        <v>77</v>
      </c>
      <c r="C56" s="28" t="s">
        <v>82</v>
      </c>
      <c r="D56" s="6">
        <v>29309.3</v>
      </c>
      <c r="E56" s="6">
        <v>14043.7</v>
      </c>
      <c r="F56" s="29">
        <v>8832.6949833599992</v>
      </c>
      <c r="G56" s="29">
        <v>16363088.58</v>
      </c>
      <c r="H56" s="6">
        <v>26393</v>
      </c>
      <c r="I56" s="29">
        <v>275927287.48000002</v>
      </c>
      <c r="J56" s="29">
        <v>-16367523.367054224</v>
      </c>
      <c r="K56" s="29">
        <v>0</v>
      </c>
      <c r="L56" s="29">
        <v>259559764.1129458</v>
      </c>
      <c r="M56" s="29">
        <v>8527.58</v>
      </c>
      <c r="N56" s="32">
        <v>1073</v>
      </c>
      <c r="O56" s="29">
        <v>758198.5373716224</v>
      </c>
    </row>
    <row r="57" spans="1:15" x14ac:dyDescent="0.2">
      <c r="A57" s="27" t="s">
        <v>286</v>
      </c>
      <c r="B57" s="28" t="s">
        <v>77</v>
      </c>
      <c r="C57" s="28" t="s">
        <v>83</v>
      </c>
      <c r="D57" s="6">
        <v>3680</v>
      </c>
      <c r="E57" s="6">
        <v>297.60000000000002</v>
      </c>
      <c r="F57" s="29">
        <v>8852.1163137500007</v>
      </c>
      <c r="G57" s="29">
        <v>316126.78000000003</v>
      </c>
      <c r="H57" s="6">
        <v>3539</v>
      </c>
      <c r="I57" s="29">
        <v>33360377.600000001</v>
      </c>
      <c r="J57" s="29">
        <v>-1978879.1637410268</v>
      </c>
      <c r="K57" s="29">
        <v>0</v>
      </c>
      <c r="L57" s="29">
        <v>31381498.436258975</v>
      </c>
      <c r="M57" s="29">
        <v>8527.58</v>
      </c>
      <c r="N57" s="32">
        <v>49</v>
      </c>
      <c r="O57" s="29">
        <v>34700.295949900006</v>
      </c>
    </row>
    <row r="58" spans="1:15" x14ac:dyDescent="0.2">
      <c r="A58" s="27" t="s">
        <v>287</v>
      </c>
      <c r="B58" s="28" t="s">
        <v>77</v>
      </c>
      <c r="C58" s="28" t="s">
        <v>84</v>
      </c>
      <c r="D58" s="6">
        <v>1370.3</v>
      </c>
      <c r="E58" s="6">
        <v>362.9</v>
      </c>
      <c r="F58" s="29">
        <v>9384.1246018799993</v>
      </c>
      <c r="G58" s="29">
        <v>408659.86</v>
      </c>
      <c r="H58" s="6">
        <v>1293</v>
      </c>
      <c r="I58" s="29">
        <v>13270728.720000001</v>
      </c>
      <c r="J58" s="29">
        <v>-787196.38208374556</v>
      </c>
      <c r="K58" s="29">
        <v>0</v>
      </c>
      <c r="L58" s="29">
        <v>12483532.337916255</v>
      </c>
      <c r="M58" s="29">
        <v>8527.58</v>
      </c>
      <c r="N58" s="32">
        <v>4</v>
      </c>
      <c r="O58" s="29">
        <v>3002.9198726015998</v>
      </c>
    </row>
    <row r="59" spans="1:15" x14ac:dyDescent="0.2">
      <c r="A59" s="27" t="s">
        <v>288</v>
      </c>
      <c r="B59" s="28" t="s">
        <v>77</v>
      </c>
      <c r="C59" s="28" t="s">
        <v>85</v>
      </c>
      <c r="D59" s="6">
        <v>25495.1</v>
      </c>
      <c r="E59" s="6">
        <v>2539</v>
      </c>
      <c r="F59" s="29">
        <v>8894.3305931399991</v>
      </c>
      <c r="G59" s="29">
        <v>2709924.65</v>
      </c>
      <c r="H59" s="6">
        <v>25961</v>
      </c>
      <c r="I59" s="29">
        <v>230697785.91</v>
      </c>
      <c r="J59" s="29">
        <v>-13684588.5598875</v>
      </c>
      <c r="K59" s="29">
        <v>0</v>
      </c>
      <c r="L59" s="29">
        <v>217013197.3501125</v>
      </c>
      <c r="M59" s="29">
        <v>8527.58</v>
      </c>
      <c r="N59" s="32">
        <v>377</v>
      </c>
      <c r="O59" s="29">
        <v>268253.01068910235</v>
      </c>
    </row>
    <row r="60" spans="1:15" x14ac:dyDescent="0.2">
      <c r="A60" s="27" t="s">
        <v>289</v>
      </c>
      <c r="B60" s="28" t="s">
        <v>77</v>
      </c>
      <c r="C60" s="28" t="s">
        <v>86</v>
      </c>
      <c r="D60" s="6">
        <v>1032.8</v>
      </c>
      <c r="E60" s="6">
        <v>386</v>
      </c>
      <c r="F60" s="29">
        <v>9425.6778917699994</v>
      </c>
      <c r="G60" s="29">
        <v>440380.39</v>
      </c>
      <c r="H60" s="6">
        <v>908</v>
      </c>
      <c r="I60" s="29">
        <v>10224274.42</v>
      </c>
      <c r="J60" s="29">
        <v>-606486.0493098367</v>
      </c>
      <c r="K60" s="29">
        <v>0</v>
      </c>
      <c r="L60" s="29">
        <v>9617788.3706901632</v>
      </c>
      <c r="M60" s="29">
        <v>8527.58</v>
      </c>
      <c r="N60" s="32">
        <v>66</v>
      </c>
      <c r="O60" s="29">
        <v>49767.579268545596</v>
      </c>
    </row>
    <row r="61" spans="1:15" x14ac:dyDescent="0.2">
      <c r="A61" s="27" t="s">
        <v>290</v>
      </c>
      <c r="B61" s="28" t="s">
        <v>77</v>
      </c>
      <c r="C61" s="28" t="s">
        <v>87</v>
      </c>
      <c r="D61" s="6">
        <v>592.70000000000005</v>
      </c>
      <c r="E61" s="6">
        <v>127.4</v>
      </c>
      <c r="F61" s="29">
        <v>10237.33934739</v>
      </c>
      <c r="G61" s="29">
        <v>156508.44</v>
      </c>
      <c r="H61" s="6">
        <v>586</v>
      </c>
      <c r="I61" s="29">
        <v>6189828.79</v>
      </c>
      <c r="J61" s="29">
        <v>-367169.80144898995</v>
      </c>
      <c r="K61" s="29">
        <v>0</v>
      </c>
      <c r="L61" s="29">
        <v>5822658.9885510104</v>
      </c>
      <c r="M61" s="29">
        <v>8527.58</v>
      </c>
      <c r="N61" s="32">
        <v>13</v>
      </c>
      <c r="O61" s="29">
        <v>10646.832921285599</v>
      </c>
    </row>
    <row r="62" spans="1:15" x14ac:dyDescent="0.2">
      <c r="A62" s="27" t="s">
        <v>291</v>
      </c>
      <c r="B62" s="28" t="s">
        <v>77</v>
      </c>
      <c r="C62" s="28" t="s">
        <v>88</v>
      </c>
      <c r="D62" s="6">
        <v>267</v>
      </c>
      <c r="E62" s="6">
        <v>176</v>
      </c>
      <c r="F62" s="29">
        <v>13064.883889139999</v>
      </c>
      <c r="G62" s="29">
        <v>275930.34999999998</v>
      </c>
      <c r="H62" s="6">
        <v>257</v>
      </c>
      <c r="I62" s="29">
        <v>3773661.07</v>
      </c>
      <c r="J62" s="29">
        <v>-223846.96456324487</v>
      </c>
      <c r="K62" s="29">
        <v>0</v>
      </c>
      <c r="L62" s="29">
        <v>3549814.1054367549</v>
      </c>
      <c r="M62" s="29">
        <v>8527.58</v>
      </c>
      <c r="N62" s="32">
        <v>9</v>
      </c>
      <c r="O62" s="29">
        <v>9406.7164001807996</v>
      </c>
    </row>
    <row r="63" spans="1:15" x14ac:dyDescent="0.2">
      <c r="A63" s="27" t="s">
        <v>292</v>
      </c>
      <c r="B63" s="28" t="s">
        <v>77</v>
      </c>
      <c r="C63" s="28" t="s">
        <v>89</v>
      </c>
      <c r="D63" s="6">
        <v>6408.8</v>
      </c>
      <c r="E63" s="6">
        <v>687.5</v>
      </c>
      <c r="F63" s="29">
        <v>8945.2870123400007</v>
      </c>
      <c r="G63" s="29">
        <v>737986.18</v>
      </c>
      <c r="H63" s="6">
        <v>6389</v>
      </c>
      <c r="I63" s="29">
        <v>58128583.259999998</v>
      </c>
      <c r="J63" s="29">
        <v>-3448085.7384239994</v>
      </c>
      <c r="K63" s="29">
        <v>0</v>
      </c>
      <c r="L63" s="29">
        <v>54680497.521576002</v>
      </c>
      <c r="M63" s="29">
        <v>8527.58</v>
      </c>
      <c r="N63" s="32">
        <v>88</v>
      </c>
      <c r="O63" s="29">
        <v>62974.820566873605</v>
      </c>
    </row>
    <row r="64" spans="1:15" x14ac:dyDescent="0.2">
      <c r="A64" s="27" t="s">
        <v>293</v>
      </c>
      <c r="B64" s="28" t="s">
        <v>77</v>
      </c>
      <c r="C64" s="28" t="s">
        <v>90</v>
      </c>
      <c r="D64" s="6">
        <v>28111.1</v>
      </c>
      <c r="E64" s="6">
        <v>8836</v>
      </c>
      <c r="F64" s="29">
        <v>8837.7213600800005</v>
      </c>
      <c r="G64" s="29">
        <v>9370812.7100000009</v>
      </c>
      <c r="H64" s="6">
        <v>24326</v>
      </c>
      <c r="I64" s="29">
        <v>257059165.09999999</v>
      </c>
      <c r="J64" s="29">
        <v>-15248299.397697901</v>
      </c>
      <c r="K64" s="29">
        <v>0</v>
      </c>
      <c r="L64" s="29">
        <v>241810865.7023021</v>
      </c>
      <c r="M64" s="29">
        <v>8527.58</v>
      </c>
      <c r="N64" s="32">
        <v>624</v>
      </c>
      <c r="O64" s="29">
        <v>441179.05029519362</v>
      </c>
    </row>
    <row r="65" spans="1:15" x14ac:dyDescent="0.2">
      <c r="A65" s="27" t="s">
        <v>294</v>
      </c>
      <c r="B65" s="28" t="s">
        <v>77</v>
      </c>
      <c r="C65" s="28" t="s">
        <v>91</v>
      </c>
      <c r="D65" s="6">
        <v>176.1</v>
      </c>
      <c r="E65" s="6">
        <v>65</v>
      </c>
      <c r="F65" s="29">
        <v>15710.28751634</v>
      </c>
      <c r="G65" s="29">
        <v>122540.24</v>
      </c>
      <c r="H65" s="6">
        <v>130</v>
      </c>
      <c r="I65" s="29">
        <v>2836906.04</v>
      </c>
      <c r="J65" s="29">
        <v>-168280.29704457146</v>
      </c>
      <c r="K65" s="29">
        <v>0</v>
      </c>
      <c r="L65" s="29">
        <v>2668625.7429554285</v>
      </c>
      <c r="M65" s="29">
        <v>8527.58</v>
      </c>
      <c r="N65" s="32">
        <v>3</v>
      </c>
      <c r="O65" s="29">
        <v>3770.4690039216002</v>
      </c>
    </row>
    <row r="66" spans="1:15" x14ac:dyDescent="0.2">
      <c r="A66" s="27" t="s">
        <v>295</v>
      </c>
      <c r="B66" s="28" t="s">
        <v>77</v>
      </c>
      <c r="C66" s="28" t="s">
        <v>92</v>
      </c>
      <c r="D66" s="6">
        <v>298</v>
      </c>
      <c r="E66" s="6">
        <v>151.6</v>
      </c>
      <c r="F66" s="29">
        <v>12376.5476973</v>
      </c>
      <c r="G66" s="29">
        <v>225154.16</v>
      </c>
      <c r="H66" s="6">
        <v>285</v>
      </c>
      <c r="I66" s="29">
        <v>3908312.47</v>
      </c>
      <c r="J66" s="29">
        <v>-231834.24974998567</v>
      </c>
      <c r="K66" s="29">
        <v>0</v>
      </c>
      <c r="L66" s="29">
        <v>3676478.2202500147</v>
      </c>
      <c r="M66" s="29">
        <v>8527.58</v>
      </c>
      <c r="N66" s="32">
        <v>6</v>
      </c>
      <c r="O66" s="29">
        <v>5940.7428947040007</v>
      </c>
    </row>
    <row r="67" spans="1:15" x14ac:dyDescent="0.2">
      <c r="A67" s="27" t="s">
        <v>296</v>
      </c>
      <c r="B67" s="28" t="s">
        <v>93</v>
      </c>
      <c r="C67" s="28" t="s">
        <v>94</v>
      </c>
      <c r="D67" s="6">
        <v>3570.6</v>
      </c>
      <c r="E67" s="6">
        <v>1726.2</v>
      </c>
      <c r="F67" s="29">
        <v>8491.6873205699994</v>
      </c>
      <c r="G67" s="29">
        <v>1934192.13</v>
      </c>
      <c r="H67" s="6">
        <v>3243</v>
      </c>
      <c r="I67" s="29">
        <v>32365805.030000001</v>
      </c>
      <c r="J67" s="29">
        <v>-1919882.8610252757</v>
      </c>
      <c r="K67" s="29">
        <v>0</v>
      </c>
      <c r="L67" s="29">
        <v>30445922.168974727</v>
      </c>
      <c r="M67" s="29">
        <v>8527.58</v>
      </c>
      <c r="N67" s="32">
        <v>21</v>
      </c>
      <c r="O67" s="29">
        <v>14266.0346985576</v>
      </c>
    </row>
    <row r="68" spans="1:15" x14ac:dyDescent="0.2">
      <c r="A68" s="27" t="s">
        <v>297</v>
      </c>
      <c r="B68" s="28" t="s">
        <v>93</v>
      </c>
      <c r="C68" s="28" t="s">
        <v>95</v>
      </c>
      <c r="D68" s="6">
        <v>1383.1</v>
      </c>
      <c r="E68" s="6">
        <v>574.5</v>
      </c>
      <c r="F68" s="29">
        <v>8896.0298487199998</v>
      </c>
      <c r="G68" s="29">
        <v>620474.06999999995</v>
      </c>
      <c r="H68" s="6">
        <v>1331</v>
      </c>
      <c r="I68" s="29">
        <v>12933824.82</v>
      </c>
      <c r="J68" s="29">
        <v>-767211.83287129633</v>
      </c>
      <c r="K68" s="29">
        <v>0</v>
      </c>
      <c r="L68" s="29">
        <v>12166612.987128705</v>
      </c>
      <c r="M68" s="29">
        <v>8527.58</v>
      </c>
      <c r="N68" s="32">
        <v>13</v>
      </c>
      <c r="O68" s="29">
        <v>9251.8710426688012</v>
      </c>
    </row>
    <row r="69" spans="1:15" x14ac:dyDescent="0.2">
      <c r="A69" s="27" t="s">
        <v>298</v>
      </c>
      <c r="B69" s="28" t="s">
        <v>93</v>
      </c>
      <c r="C69" s="28" t="s">
        <v>96</v>
      </c>
      <c r="D69" s="6">
        <v>204.9</v>
      </c>
      <c r="E69" s="6">
        <v>124.3</v>
      </c>
      <c r="F69" s="29">
        <v>14425.0721113</v>
      </c>
      <c r="G69" s="29">
        <v>215164.38</v>
      </c>
      <c r="H69" s="6">
        <v>194</v>
      </c>
      <c r="I69" s="29">
        <v>3170861.66</v>
      </c>
      <c r="J69" s="29">
        <v>-188089.95945175647</v>
      </c>
      <c r="K69" s="29">
        <v>0</v>
      </c>
      <c r="L69" s="29">
        <v>2982771.7005482437</v>
      </c>
      <c r="M69" s="29">
        <v>8527.58</v>
      </c>
      <c r="N69" s="32">
        <v>0</v>
      </c>
      <c r="O69" s="29">
        <v>0</v>
      </c>
    </row>
    <row r="70" spans="1:15" x14ac:dyDescent="0.2">
      <c r="A70" s="27" t="s">
        <v>299</v>
      </c>
      <c r="B70" s="28" t="s">
        <v>97</v>
      </c>
      <c r="C70" s="28" t="s">
        <v>98</v>
      </c>
      <c r="D70" s="6">
        <v>6179.4</v>
      </c>
      <c r="E70" s="6">
        <v>2178.6</v>
      </c>
      <c r="F70" s="29">
        <v>9468.66778849</v>
      </c>
      <c r="G70" s="29">
        <v>2475412.7599999998</v>
      </c>
      <c r="H70" s="6">
        <v>5819</v>
      </c>
      <c r="I70" s="29">
        <v>61817068.780000001</v>
      </c>
      <c r="J70" s="29">
        <v>-3666880.2385584489</v>
      </c>
      <c r="K70" s="29">
        <v>0</v>
      </c>
      <c r="L70" s="29">
        <v>58150188.541441552</v>
      </c>
      <c r="M70" s="29">
        <v>8527.58</v>
      </c>
      <c r="N70" s="32">
        <v>1097</v>
      </c>
      <c r="O70" s="29">
        <v>830970.28511788242</v>
      </c>
    </row>
    <row r="71" spans="1:15" x14ac:dyDescent="0.2">
      <c r="A71" s="27" t="s">
        <v>300</v>
      </c>
      <c r="B71" s="28" t="s">
        <v>97</v>
      </c>
      <c r="C71" s="28" t="s">
        <v>99</v>
      </c>
      <c r="D71" s="6">
        <v>4697.6000000000004</v>
      </c>
      <c r="E71" s="6">
        <v>1737.9</v>
      </c>
      <c r="F71" s="29">
        <v>8792.9996917099998</v>
      </c>
      <c r="G71" s="29">
        <v>1835347.44</v>
      </c>
      <c r="H71" s="6">
        <v>4361</v>
      </c>
      <c r="I71" s="29">
        <v>43591463.369999997</v>
      </c>
      <c r="J71" s="29">
        <v>-2585769.2504018061</v>
      </c>
      <c r="K71" s="29">
        <v>0</v>
      </c>
      <c r="L71" s="29">
        <v>41005694.119598195</v>
      </c>
      <c r="M71" s="29">
        <v>8527.58</v>
      </c>
      <c r="N71" s="32">
        <v>640</v>
      </c>
      <c r="O71" s="29">
        <v>450201.58421555196</v>
      </c>
    </row>
    <row r="72" spans="1:15" x14ac:dyDescent="0.2">
      <c r="A72" s="27" t="s">
        <v>301</v>
      </c>
      <c r="B72" s="28" t="s">
        <v>97</v>
      </c>
      <c r="C72" s="28" t="s">
        <v>100</v>
      </c>
      <c r="D72" s="6">
        <v>1204.0999999999999</v>
      </c>
      <c r="E72" s="6">
        <v>736.4</v>
      </c>
      <c r="F72" s="29">
        <v>9486.07921007</v>
      </c>
      <c r="G72" s="29">
        <v>1067261.7</v>
      </c>
      <c r="H72" s="6">
        <v>1126</v>
      </c>
      <c r="I72" s="29">
        <v>12599488.199999999</v>
      </c>
      <c r="J72" s="29">
        <v>-747379.57021148747</v>
      </c>
      <c r="K72" s="29">
        <v>0</v>
      </c>
      <c r="L72" s="29">
        <v>11852108.629788512</v>
      </c>
      <c r="M72" s="29">
        <v>8527.58</v>
      </c>
      <c r="N72" s="32">
        <v>145</v>
      </c>
      <c r="O72" s="29">
        <v>110038.518836812</v>
      </c>
    </row>
    <row r="73" spans="1:15" x14ac:dyDescent="0.2">
      <c r="A73" s="27" t="s">
        <v>302</v>
      </c>
      <c r="B73" s="28" t="s">
        <v>101</v>
      </c>
      <c r="C73" s="28" t="s">
        <v>101</v>
      </c>
      <c r="D73" s="6">
        <v>439.1</v>
      </c>
      <c r="E73" s="6">
        <v>103.2</v>
      </c>
      <c r="F73" s="29">
        <v>10969.568977589999</v>
      </c>
      <c r="G73" s="29">
        <v>135847.14000000001</v>
      </c>
      <c r="H73" s="6">
        <v>411</v>
      </c>
      <c r="I73" s="29">
        <v>4956095.1399999997</v>
      </c>
      <c r="J73" s="29">
        <v>-293986.88239260716</v>
      </c>
      <c r="K73" s="29">
        <v>0</v>
      </c>
      <c r="L73" s="29">
        <v>4662108.257607393</v>
      </c>
      <c r="M73" s="29">
        <v>8527.58</v>
      </c>
      <c r="N73" s="32">
        <v>4</v>
      </c>
      <c r="O73" s="29">
        <v>3510.2620728287998</v>
      </c>
    </row>
    <row r="74" spans="1:15" x14ac:dyDescent="0.2">
      <c r="A74" s="27" t="s">
        <v>303</v>
      </c>
      <c r="B74" s="28" t="s">
        <v>102</v>
      </c>
      <c r="C74" s="28" t="s">
        <v>103</v>
      </c>
      <c r="D74" s="6">
        <v>421.8</v>
      </c>
      <c r="E74" s="6">
        <v>130</v>
      </c>
      <c r="F74" s="29">
        <v>11232.72263634</v>
      </c>
      <c r="G74" s="29">
        <v>175230.47</v>
      </c>
      <c r="H74" s="6">
        <v>393</v>
      </c>
      <c r="I74" s="29">
        <v>4943745.8899999997</v>
      </c>
      <c r="J74" s="29">
        <v>-293254.34651409154</v>
      </c>
      <c r="K74" s="29">
        <v>0</v>
      </c>
      <c r="L74" s="29">
        <v>4650491.5434859078</v>
      </c>
      <c r="M74" s="29">
        <v>8527.58</v>
      </c>
      <c r="N74" s="32">
        <v>34</v>
      </c>
      <c r="O74" s="29">
        <v>30553.005570844802</v>
      </c>
    </row>
    <row r="75" spans="1:15" x14ac:dyDescent="0.2">
      <c r="A75" s="27" t="s">
        <v>304</v>
      </c>
      <c r="B75" s="28" t="s">
        <v>102</v>
      </c>
      <c r="C75" s="28" t="s">
        <v>104</v>
      </c>
      <c r="D75" s="6">
        <v>1297.0999999999999</v>
      </c>
      <c r="E75" s="6">
        <v>366.8</v>
      </c>
      <c r="F75" s="29">
        <v>9284.1496157199999</v>
      </c>
      <c r="G75" s="29">
        <v>408651.13</v>
      </c>
      <c r="H75" s="6">
        <v>1243</v>
      </c>
      <c r="I75" s="29">
        <v>12497170.98</v>
      </c>
      <c r="J75" s="29">
        <v>-741310.29194438818</v>
      </c>
      <c r="K75" s="29">
        <v>0</v>
      </c>
      <c r="L75" s="29">
        <v>11755860.688055612</v>
      </c>
      <c r="M75" s="29">
        <v>8527.58</v>
      </c>
      <c r="N75" s="32">
        <v>62</v>
      </c>
      <c r="O75" s="29">
        <v>46049.382093971202</v>
      </c>
    </row>
    <row r="76" spans="1:15" x14ac:dyDescent="0.2">
      <c r="A76" s="27" t="s">
        <v>305</v>
      </c>
      <c r="B76" s="28" t="s">
        <v>105</v>
      </c>
      <c r="C76" s="28" t="s">
        <v>105</v>
      </c>
      <c r="D76" s="6">
        <v>2046.5</v>
      </c>
      <c r="E76" s="6">
        <v>346.6</v>
      </c>
      <c r="F76" s="29">
        <v>9154.3192265100006</v>
      </c>
      <c r="G76" s="29">
        <v>380746.45</v>
      </c>
      <c r="H76" s="6">
        <v>2008</v>
      </c>
      <c r="I76" s="29">
        <v>19194154.07</v>
      </c>
      <c r="J76" s="29">
        <v>-1138563.5981158088</v>
      </c>
      <c r="K76" s="29">
        <v>0</v>
      </c>
      <c r="L76" s="29">
        <v>18055590.471884191</v>
      </c>
      <c r="M76" s="29">
        <v>8527.58</v>
      </c>
      <c r="N76" s="32">
        <v>108</v>
      </c>
      <c r="O76" s="29">
        <v>79093.318117046409</v>
      </c>
    </row>
    <row r="77" spans="1:15" x14ac:dyDescent="0.2">
      <c r="A77" s="27" t="s">
        <v>306</v>
      </c>
      <c r="B77" s="28" t="s">
        <v>106</v>
      </c>
      <c r="C77" s="28" t="s">
        <v>106</v>
      </c>
      <c r="D77" s="6">
        <v>74.8</v>
      </c>
      <c r="E77" s="6">
        <v>25.4</v>
      </c>
      <c r="F77" s="29">
        <v>19527.140815489998</v>
      </c>
      <c r="G77" s="29">
        <v>59518.73</v>
      </c>
      <c r="H77" s="6">
        <v>69</v>
      </c>
      <c r="I77" s="29">
        <v>1520148.86</v>
      </c>
      <c r="J77" s="29">
        <v>-90172.567616221335</v>
      </c>
      <c r="K77" s="29">
        <v>0</v>
      </c>
      <c r="L77" s="29">
        <v>1429976.2923837788</v>
      </c>
      <c r="M77" s="29">
        <v>8527.58</v>
      </c>
      <c r="N77" s="32">
        <v>0</v>
      </c>
      <c r="O77" s="29">
        <v>0</v>
      </c>
    </row>
    <row r="78" spans="1:15" x14ac:dyDescent="0.2">
      <c r="A78" s="27" t="s">
        <v>307</v>
      </c>
      <c r="B78" s="28" t="s">
        <v>107</v>
      </c>
      <c r="C78" s="28" t="s">
        <v>107</v>
      </c>
      <c r="D78" s="6">
        <v>520</v>
      </c>
      <c r="E78" s="6">
        <v>385.6</v>
      </c>
      <c r="F78" s="29">
        <v>9472.7815301999999</v>
      </c>
      <c r="G78" s="29">
        <v>694075.44</v>
      </c>
      <c r="H78" s="6">
        <v>467</v>
      </c>
      <c r="I78" s="29">
        <v>5480429.2400000002</v>
      </c>
      <c r="J78" s="29">
        <v>-325089.46275815152</v>
      </c>
      <c r="K78" s="29">
        <v>0</v>
      </c>
      <c r="L78" s="29">
        <v>5155339.7772418484</v>
      </c>
      <c r="M78" s="29">
        <v>8527.58</v>
      </c>
      <c r="N78" s="32">
        <v>3</v>
      </c>
      <c r="O78" s="29">
        <v>2273.4675672479998</v>
      </c>
    </row>
    <row r="79" spans="1:15" x14ac:dyDescent="0.2">
      <c r="A79" s="27" t="s">
        <v>308</v>
      </c>
      <c r="B79" s="28" t="s">
        <v>107</v>
      </c>
      <c r="C79" s="28" t="s">
        <v>108</v>
      </c>
      <c r="D79" s="6">
        <v>210.7</v>
      </c>
      <c r="E79" s="6">
        <v>101.8</v>
      </c>
      <c r="F79" s="29">
        <v>13634.130708410001</v>
      </c>
      <c r="G79" s="29">
        <v>166554.54</v>
      </c>
      <c r="H79" s="6">
        <v>198</v>
      </c>
      <c r="I79" s="29">
        <v>3039265.88</v>
      </c>
      <c r="J79" s="29">
        <v>-180283.92829105855</v>
      </c>
      <c r="K79" s="29">
        <v>0</v>
      </c>
      <c r="L79" s="29">
        <v>2858981.9517089413</v>
      </c>
      <c r="M79" s="29">
        <v>8527.58</v>
      </c>
      <c r="N79" s="32">
        <v>0</v>
      </c>
      <c r="O79" s="29">
        <v>0</v>
      </c>
    </row>
    <row r="80" spans="1:15" x14ac:dyDescent="0.2">
      <c r="A80" s="27" t="s">
        <v>309</v>
      </c>
      <c r="B80" s="28" t="s">
        <v>109</v>
      </c>
      <c r="C80" s="28" t="s">
        <v>110</v>
      </c>
      <c r="D80" s="6">
        <v>161.6</v>
      </c>
      <c r="E80" s="6">
        <v>59</v>
      </c>
      <c r="F80" s="29">
        <v>16176.57861379</v>
      </c>
      <c r="G80" s="29">
        <v>114530.18</v>
      </c>
      <c r="H80" s="6">
        <v>154</v>
      </c>
      <c r="I80" s="29">
        <v>2732547.66</v>
      </c>
      <c r="J80" s="29">
        <v>-162089.94074165696</v>
      </c>
      <c r="K80" s="29">
        <v>0</v>
      </c>
      <c r="L80" s="29">
        <v>2570457.7192583433</v>
      </c>
      <c r="M80" s="29">
        <v>8527.58</v>
      </c>
      <c r="N80" s="32">
        <v>3</v>
      </c>
      <c r="O80" s="29">
        <v>3882.3788673095996</v>
      </c>
    </row>
    <row r="81" spans="1:15" x14ac:dyDescent="0.2">
      <c r="A81" s="27" t="s">
        <v>310</v>
      </c>
      <c r="B81" s="28" t="s">
        <v>111</v>
      </c>
      <c r="C81" s="28" t="s">
        <v>111</v>
      </c>
      <c r="D81" s="6">
        <v>81491.199999999997</v>
      </c>
      <c r="E81" s="6">
        <v>22488</v>
      </c>
      <c r="F81" s="29">
        <v>9015.4122587000002</v>
      </c>
      <c r="G81" s="29">
        <v>24328630.899999999</v>
      </c>
      <c r="H81" s="6">
        <v>76542</v>
      </c>
      <c r="I81" s="29">
        <v>760485669.66999996</v>
      </c>
      <c r="J81" s="29">
        <v>-45110677.824989736</v>
      </c>
      <c r="K81" s="29">
        <v>0</v>
      </c>
      <c r="L81" s="29">
        <v>715374991.84501028</v>
      </c>
      <c r="M81" s="29">
        <v>8527.58</v>
      </c>
      <c r="N81" s="32">
        <v>2658</v>
      </c>
      <c r="O81" s="29">
        <v>1917037.2626899681</v>
      </c>
    </row>
    <row r="82" spans="1:15" x14ac:dyDescent="0.2">
      <c r="A82" s="27" t="s">
        <v>311</v>
      </c>
      <c r="B82" s="28" t="s">
        <v>74</v>
      </c>
      <c r="C82" s="28" t="s">
        <v>112</v>
      </c>
      <c r="D82" s="6">
        <v>192</v>
      </c>
      <c r="E82" s="6">
        <v>81</v>
      </c>
      <c r="F82" s="29">
        <v>14158.02855074</v>
      </c>
      <c r="G82" s="29">
        <v>137616.04</v>
      </c>
      <c r="H82" s="6">
        <v>185</v>
      </c>
      <c r="I82" s="29">
        <v>2855957.52</v>
      </c>
      <c r="J82" s="29">
        <v>-169410.39746676898</v>
      </c>
      <c r="K82" s="29">
        <v>0</v>
      </c>
      <c r="L82" s="29">
        <v>2686547.122533231</v>
      </c>
      <c r="M82" s="29">
        <v>8527.58</v>
      </c>
      <c r="N82" s="32">
        <v>0</v>
      </c>
      <c r="O82" s="29">
        <v>0</v>
      </c>
    </row>
    <row r="83" spans="1:15" x14ac:dyDescent="0.2">
      <c r="A83" s="27" t="s">
        <v>312</v>
      </c>
      <c r="B83" s="28" t="s">
        <v>74</v>
      </c>
      <c r="C83" s="28" t="s">
        <v>113</v>
      </c>
      <c r="D83" s="6">
        <v>88.5</v>
      </c>
      <c r="E83" s="6">
        <v>28</v>
      </c>
      <c r="F83" s="29">
        <v>16850.857274130001</v>
      </c>
      <c r="G83" s="29">
        <v>56618.879999999997</v>
      </c>
      <c r="H83" s="6">
        <v>132</v>
      </c>
      <c r="I83" s="29">
        <v>1551963.96</v>
      </c>
      <c r="J83" s="29">
        <v>-92059.783619505921</v>
      </c>
      <c r="K83" s="29">
        <v>0</v>
      </c>
      <c r="L83" s="29">
        <v>1459904.1763804941</v>
      </c>
      <c r="M83" s="29">
        <v>8527.58</v>
      </c>
      <c r="N83" s="32">
        <v>3</v>
      </c>
      <c r="O83" s="29">
        <v>4044.2057457912006</v>
      </c>
    </row>
    <row r="84" spans="1:15" x14ac:dyDescent="0.2">
      <c r="A84" s="27" t="s">
        <v>313</v>
      </c>
      <c r="B84" s="28" t="s">
        <v>55</v>
      </c>
      <c r="C84" s="28" t="s">
        <v>114</v>
      </c>
      <c r="D84" s="6">
        <v>148.80000000000001</v>
      </c>
      <c r="E84" s="6">
        <v>42</v>
      </c>
      <c r="F84" s="29">
        <v>15520.7502341</v>
      </c>
      <c r="G84" s="29">
        <v>78224.58</v>
      </c>
      <c r="H84" s="6">
        <v>124</v>
      </c>
      <c r="I84" s="29">
        <v>2388953.87</v>
      </c>
      <c r="J84" s="29">
        <v>-141708.55897271048</v>
      </c>
      <c r="K84" s="29">
        <v>0</v>
      </c>
      <c r="L84" s="29">
        <v>2247245.3110272898</v>
      </c>
      <c r="M84" s="29">
        <v>8527.58</v>
      </c>
      <c r="N84" s="32">
        <v>1</v>
      </c>
      <c r="O84" s="29">
        <v>1241.6600187280001</v>
      </c>
    </row>
    <row r="85" spans="1:15" x14ac:dyDescent="0.2">
      <c r="A85" s="27" t="s">
        <v>314</v>
      </c>
      <c r="B85" s="28" t="s">
        <v>55</v>
      </c>
      <c r="C85" s="28" t="s">
        <v>115</v>
      </c>
      <c r="D85" s="6">
        <v>144.5</v>
      </c>
      <c r="E85" s="6">
        <v>69.2</v>
      </c>
      <c r="F85" s="29">
        <v>15180.985106980001</v>
      </c>
      <c r="G85" s="29">
        <v>126062.9</v>
      </c>
      <c r="H85" s="6">
        <v>140</v>
      </c>
      <c r="I85" s="29">
        <v>2319715.25</v>
      </c>
      <c r="J85" s="29">
        <v>-137601.44531569412</v>
      </c>
      <c r="K85" s="29">
        <v>0</v>
      </c>
      <c r="L85" s="29">
        <v>2182113.804684306</v>
      </c>
      <c r="M85" s="29">
        <v>8527.58</v>
      </c>
      <c r="N85" s="32">
        <v>0</v>
      </c>
      <c r="O85" s="29">
        <v>0</v>
      </c>
    </row>
    <row r="86" spans="1:15" x14ac:dyDescent="0.2">
      <c r="A86" s="27" t="s">
        <v>315</v>
      </c>
      <c r="B86" s="28" t="s">
        <v>55</v>
      </c>
      <c r="C86" s="28" t="s">
        <v>116</v>
      </c>
      <c r="D86" s="6">
        <v>216</v>
      </c>
      <c r="E86" s="6">
        <v>105.2</v>
      </c>
      <c r="F86" s="29">
        <v>13586.56433198</v>
      </c>
      <c r="G86" s="29">
        <v>171516.79</v>
      </c>
      <c r="H86" s="6">
        <v>207</v>
      </c>
      <c r="I86" s="29">
        <v>3122518.57</v>
      </c>
      <c r="J86" s="29">
        <v>-185222.33203281928</v>
      </c>
      <c r="K86" s="29">
        <v>0</v>
      </c>
      <c r="L86" s="29">
        <v>2937296.2379671806</v>
      </c>
      <c r="M86" s="29">
        <v>8527.58</v>
      </c>
      <c r="N86" s="32">
        <v>15</v>
      </c>
      <c r="O86" s="29">
        <v>16303.877198376</v>
      </c>
    </row>
    <row r="87" spans="1:15" x14ac:dyDescent="0.2">
      <c r="A87" s="27" t="s">
        <v>316</v>
      </c>
      <c r="B87" s="28" t="s">
        <v>55</v>
      </c>
      <c r="C87" s="28" t="s">
        <v>117</v>
      </c>
      <c r="D87" s="6">
        <v>110.2</v>
      </c>
      <c r="E87" s="6">
        <v>67</v>
      </c>
      <c r="F87" s="29">
        <v>16631.226313349998</v>
      </c>
      <c r="G87" s="29">
        <v>133715.06</v>
      </c>
      <c r="H87" s="6">
        <v>101</v>
      </c>
      <c r="I87" s="29">
        <v>1979781.18</v>
      </c>
      <c r="J87" s="29">
        <v>-117437.15172662263</v>
      </c>
      <c r="K87" s="29">
        <v>0</v>
      </c>
      <c r="L87" s="29">
        <v>1862344.0282733773</v>
      </c>
      <c r="M87" s="29">
        <v>8527.58</v>
      </c>
      <c r="N87" s="32">
        <v>10</v>
      </c>
      <c r="O87" s="29">
        <v>13304.981050679999</v>
      </c>
    </row>
    <row r="88" spans="1:15" x14ac:dyDescent="0.2">
      <c r="A88" s="27" t="s">
        <v>317</v>
      </c>
      <c r="B88" s="28" t="s">
        <v>55</v>
      </c>
      <c r="C88" s="28" t="s">
        <v>118</v>
      </c>
      <c r="D88" s="6">
        <v>716.3</v>
      </c>
      <c r="E88" s="6">
        <v>447.9</v>
      </c>
      <c r="F88" s="29">
        <v>9122.1755602400008</v>
      </c>
      <c r="G88" s="29">
        <v>628737.47</v>
      </c>
      <c r="H88" s="6">
        <v>679</v>
      </c>
      <c r="I88" s="29">
        <v>7213306.2300000004</v>
      </c>
      <c r="J88" s="29">
        <v>-427880.69042211142</v>
      </c>
      <c r="K88" s="29">
        <v>0</v>
      </c>
      <c r="L88" s="29">
        <v>6785425.5395778893</v>
      </c>
      <c r="M88" s="29">
        <v>8527.58</v>
      </c>
      <c r="N88" s="32">
        <v>69</v>
      </c>
      <c r="O88" s="29">
        <v>50354.409092524802</v>
      </c>
    </row>
    <row r="89" spans="1:15" x14ac:dyDescent="0.2">
      <c r="A89" s="27" t="s">
        <v>318</v>
      </c>
      <c r="B89" s="28" t="s">
        <v>119</v>
      </c>
      <c r="C89" s="28" t="s">
        <v>119</v>
      </c>
      <c r="D89" s="6">
        <v>987.3</v>
      </c>
      <c r="E89" s="6">
        <v>480.1</v>
      </c>
      <c r="F89" s="29">
        <v>9446.8379748900006</v>
      </c>
      <c r="G89" s="29">
        <v>592196.68000000005</v>
      </c>
      <c r="H89" s="6">
        <v>919</v>
      </c>
      <c r="I89" s="29">
        <v>10036200.6</v>
      </c>
      <c r="J89" s="29">
        <v>-595329.83974573447</v>
      </c>
      <c r="K89" s="29">
        <v>0</v>
      </c>
      <c r="L89" s="29">
        <v>9440870.7602542657</v>
      </c>
      <c r="M89" s="29">
        <v>8527.58</v>
      </c>
      <c r="N89" s="32">
        <v>155</v>
      </c>
      <c r="O89" s="29">
        <v>117140.79088863601</v>
      </c>
    </row>
    <row r="90" spans="1:15" x14ac:dyDescent="0.2">
      <c r="A90" s="27" t="s">
        <v>319</v>
      </c>
      <c r="B90" s="28" t="s">
        <v>120</v>
      </c>
      <c r="C90" s="28" t="s">
        <v>121</v>
      </c>
      <c r="D90" s="6">
        <v>6138.5</v>
      </c>
      <c r="E90" s="6">
        <v>1412.6</v>
      </c>
      <c r="F90" s="29">
        <v>9120.3055093599996</v>
      </c>
      <c r="G90" s="29">
        <v>1546001.23</v>
      </c>
      <c r="H90" s="6">
        <v>6115</v>
      </c>
      <c r="I90" s="29">
        <v>57162776.07</v>
      </c>
      <c r="J90" s="29">
        <v>-3390795.7476631552</v>
      </c>
      <c r="K90" s="29">
        <v>0</v>
      </c>
      <c r="L90" s="29">
        <v>53771980.322336845</v>
      </c>
      <c r="M90" s="29">
        <v>8527.58</v>
      </c>
      <c r="N90" s="32">
        <v>140</v>
      </c>
      <c r="O90" s="29">
        <v>102147.421704832</v>
      </c>
    </row>
    <row r="91" spans="1:15" x14ac:dyDescent="0.2">
      <c r="A91" s="27" t="s">
        <v>320</v>
      </c>
      <c r="B91" s="28" t="s">
        <v>120</v>
      </c>
      <c r="C91" s="28" t="s">
        <v>122</v>
      </c>
      <c r="D91" s="6">
        <v>1378.1</v>
      </c>
      <c r="E91" s="6">
        <v>398.3</v>
      </c>
      <c r="F91" s="29">
        <v>9571.4608478699993</v>
      </c>
      <c r="G91" s="29">
        <v>457477.54</v>
      </c>
      <c r="H91" s="6">
        <v>1308</v>
      </c>
      <c r="I91" s="29">
        <v>13658510.800000001</v>
      </c>
      <c r="J91" s="29">
        <v>-810198.93581335794</v>
      </c>
      <c r="K91" s="29">
        <v>0</v>
      </c>
      <c r="L91" s="29">
        <v>12848311.864186643</v>
      </c>
      <c r="M91" s="29">
        <v>8527.58</v>
      </c>
      <c r="N91" s="32">
        <v>29</v>
      </c>
      <c r="O91" s="29">
        <v>22205.789167058399</v>
      </c>
    </row>
    <row r="92" spans="1:15" x14ac:dyDescent="0.2">
      <c r="A92" s="27" t="s">
        <v>321</v>
      </c>
      <c r="B92" s="28" t="s">
        <v>120</v>
      </c>
      <c r="C92" s="28" t="s">
        <v>123</v>
      </c>
      <c r="D92" s="6">
        <v>814.3</v>
      </c>
      <c r="E92" s="6">
        <v>303.2</v>
      </c>
      <c r="F92" s="29">
        <v>10003.727960120001</v>
      </c>
      <c r="G92" s="29">
        <v>378518.76</v>
      </c>
      <c r="H92" s="6">
        <v>640</v>
      </c>
      <c r="I92" s="29">
        <v>8492485.7300000004</v>
      </c>
      <c r="J92" s="29">
        <v>-503759.37769556313</v>
      </c>
      <c r="K92" s="29">
        <v>0</v>
      </c>
      <c r="L92" s="29">
        <v>7988726.3523044372</v>
      </c>
      <c r="M92" s="29">
        <v>8527.58</v>
      </c>
      <c r="N92" s="32">
        <v>14</v>
      </c>
      <c r="O92" s="29">
        <v>11204.175315334402</v>
      </c>
    </row>
    <row r="93" spans="1:15" x14ac:dyDescent="0.2">
      <c r="A93" s="27" t="s">
        <v>322</v>
      </c>
      <c r="B93" s="28" t="s">
        <v>124</v>
      </c>
      <c r="C93" s="28" t="s">
        <v>125</v>
      </c>
      <c r="D93" s="6">
        <v>32635.599999999999</v>
      </c>
      <c r="E93" s="6">
        <v>8165.1</v>
      </c>
      <c r="F93" s="29">
        <v>8685.4911873700003</v>
      </c>
      <c r="G93" s="29">
        <v>8510148.4900000002</v>
      </c>
      <c r="H93" s="6">
        <v>33017</v>
      </c>
      <c r="I93" s="29">
        <v>295647231.79000002</v>
      </c>
      <c r="J93" s="29">
        <v>-17537275.921209738</v>
      </c>
      <c r="K93" s="29">
        <v>0</v>
      </c>
      <c r="L93" s="29">
        <v>278109955.86879027</v>
      </c>
      <c r="M93" s="29">
        <v>8527.58</v>
      </c>
      <c r="N93" s="32">
        <v>1074</v>
      </c>
      <c r="O93" s="29">
        <v>746257.40281883045</v>
      </c>
    </row>
    <row r="94" spans="1:15" x14ac:dyDescent="0.2">
      <c r="A94" s="27" t="s">
        <v>323</v>
      </c>
      <c r="B94" s="28" t="s">
        <v>124</v>
      </c>
      <c r="C94" s="28" t="s">
        <v>126</v>
      </c>
      <c r="D94" s="6">
        <v>15155.1</v>
      </c>
      <c r="E94" s="6">
        <v>4005.4</v>
      </c>
      <c r="F94" s="29">
        <v>8673.68113644</v>
      </c>
      <c r="G94" s="29">
        <v>4168987.49</v>
      </c>
      <c r="H94" s="6">
        <v>14802</v>
      </c>
      <c r="I94" s="29">
        <v>137378411.41</v>
      </c>
      <c r="J94" s="29">
        <v>-8149046.72682996</v>
      </c>
      <c r="K94" s="29">
        <v>0</v>
      </c>
      <c r="L94" s="29">
        <v>129229364.68317004</v>
      </c>
      <c r="M94" s="29">
        <v>8527.58</v>
      </c>
      <c r="N94" s="32">
        <v>323</v>
      </c>
      <c r="O94" s="29">
        <v>224127.92056560959</v>
      </c>
    </row>
    <row r="95" spans="1:15" x14ac:dyDescent="0.2">
      <c r="A95" s="27" t="s">
        <v>324</v>
      </c>
      <c r="B95" s="28" t="s">
        <v>124</v>
      </c>
      <c r="C95" s="28" t="s">
        <v>127</v>
      </c>
      <c r="D95" s="6">
        <v>1063.4000000000001</v>
      </c>
      <c r="E95" s="6">
        <v>355.7</v>
      </c>
      <c r="F95" s="29">
        <v>9617.7372217899992</v>
      </c>
      <c r="G95" s="29">
        <v>410523.5</v>
      </c>
      <c r="H95" s="6">
        <v>1017</v>
      </c>
      <c r="I95" s="29">
        <v>10706367.23</v>
      </c>
      <c r="J95" s="29">
        <v>-256430.77907300123</v>
      </c>
      <c r="K95" s="29">
        <v>0</v>
      </c>
      <c r="L95" s="29">
        <v>10449936.450926999</v>
      </c>
      <c r="M95" s="29">
        <v>8527.58</v>
      </c>
      <c r="N95" s="32">
        <v>90</v>
      </c>
      <c r="O95" s="29">
        <v>69247.707996887999</v>
      </c>
    </row>
    <row r="96" spans="1:15" x14ac:dyDescent="0.2">
      <c r="A96" s="27" t="s">
        <v>325</v>
      </c>
      <c r="B96" s="28" t="s">
        <v>47</v>
      </c>
      <c r="C96" s="28" t="s">
        <v>128</v>
      </c>
      <c r="D96" s="6">
        <v>925</v>
      </c>
      <c r="E96" s="6">
        <v>574.5</v>
      </c>
      <c r="F96" s="29">
        <v>9377.6718806099998</v>
      </c>
      <c r="G96" s="29">
        <v>909429.27</v>
      </c>
      <c r="H96" s="6">
        <v>785</v>
      </c>
      <c r="I96" s="29">
        <v>9588277.0399999991</v>
      </c>
      <c r="J96" s="29">
        <v>-568759.79876895901</v>
      </c>
      <c r="K96" s="29">
        <v>0</v>
      </c>
      <c r="L96" s="29">
        <v>9019517.2412310392</v>
      </c>
      <c r="M96" s="29">
        <v>8527.58</v>
      </c>
      <c r="N96" s="32">
        <v>6</v>
      </c>
      <c r="O96" s="29">
        <v>4501.2825026927994</v>
      </c>
    </row>
    <row r="97" spans="1:15" x14ac:dyDescent="0.2">
      <c r="A97" s="27" t="s">
        <v>326</v>
      </c>
      <c r="B97" s="28" t="s">
        <v>47</v>
      </c>
      <c r="C97" s="28" t="s">
        <v>129</v>
      </c>
      <c r="D97" s="6">
        <v>220</v>
      </c>
      <c r="E97" s="6">
        <v>102</v>
      </c>
      <c r="F97" s="29">
        <v>13851.39632371</v>
      </c>
      <c r="G97" s="29">
        <v>169541.09</v>
      </c>
      <c r="H97" s="6">
        <v>213</v>
      </c>
      <c r="I97" s="29">
        <v>3217956.39</v>
      </c>
      <c r="J97" s="29">
        <v>-190883.53634217539</v>
      </c>
      <c r="K97" s="29">
        <v>0</v>
      </c>
      <c r="L97" s="29">
        <v>3027072.8536578249</v>
      </c>
      <c r="M97" s="29">
        <v>8527.58</v>
      </c>
      <c r="N97" s="32">
        <v>1</v>
      </c>
      <c r="O97" s="29">
        <v>1108.1117058968</v>
      </c>
    </row>
    <row r="98" spans="1:15" x14ac:dyDescent="0.2">
      <c r="A98" s="27" t="s">
        <v>327</v>
      </c>
      <c r="B98" s="28" t="s">
        <v>47</v>
      </c>
      <c r="C98" s="28" t="s">
        <v>130</v>
      </c>
      <c r="D98" s="6">
        <v>350.7</v>
      </c>
      <c r="E98" s="6">
        <v>131</v>
      </c>
      <c r="F98" s="29">
        <v>11286.679029880001</v>
      </c>
      <c r="G98" s="29">
        <v>177426.59</v>
      </c>
      <c r="H98" s="6">
        <v>314</v>
      </c>
      <c r="I98" s="29">
        <v>4139276.67</v>
      </c>
      <c r="J98" s="29">
        <v>-245534.64152702942</v>
      </c>
      <c r="K98" s="29">
        <v>0</v>
      </c>
      <c r="L98" s="29">
        <v>3893742.0284729707</v>
      </c>
      <c r="M98" s="29">
        <v>8527.58</v>
      </c>
      <c r="N98" s="32">
        <v>4</v>
      </c>
      <c r="O98" s="29">
        <v>3611.7372895616004</v>
      </c>
    </row>
    <row r="99" spans="1:15" x14ac:dyDescent="0.2">
      <c r="A99" s="27" t="s">
        <v>328</v>
      </c>
      <c r="B99" s="28" t="s">
        <v>47</v>
      </c>
      <c r="C99" s="28" t="s">
        <v>131</v>
      </c>
      <c r="D99" s="6">
        <v>107.8</v>
      </c>
      <c r="E99" s="6">
        <v>81.400000000000006</v>
      </c>
      <c r="F99" s="29">
        <v>16662.071731920001</v>
      </c>
      <c r="G99" s="29">
        <v>162755.12</v>
      </c>
      <c r="H99" s="6">
        <v>101</v>
      </c>
      <c r="I99" s="29">
        <v>1960259.42</v>
      </c>
      <c r="J99" s="29">
        <v>-116279.15511858805</v>
      </c>
      <c r="K99" s="29">
        <v>0</v>
      </c>
      <c r="L99" s="29">
        <v>1843980.2648814118</v>
      </c>
      <c r="M99" s="29">
        <v>8527.58</v>
      </c>
      <c r="N99" s="32">
        <v>1</v>
      </c>
      <c r="O99" s="29">
        <v>1332.9657385536002</v>
      </c>
    </row>
    <row r="100" spans="1:15" x14ac:dyDescent="0.2">
      <c r="A100" s="27" t="s">
        <v>329</v>
      </c>
      <c r="B100" s="28" t="s">
        <v>47</v>
      </c>
      <c r="C100" s="28" t="s">
        <v>132</v>
      </c>
      <c r="D100" s="6">
        <v>501</v>
      </c>
      <c r="E100" s="6">
        <v>119.9</v>
      </c>
      <c r="F100" s="29">
        <v>8996.52733773</v>
      </c>
      <c r="G100" s="29">
        <v>129442.04</v>
      </c>
      <c r="H100" s="6">
        <v>501</v>
      </c>
      <c r="I100" s="29">
        <v>4521368.42</v>
      </c>
      <c r="J100" s="29">
        <v>-268199.65484847175</v>
      </c>
      <c r="K100" s="29">
        <v>0</v>
      </c>
      <c r="L100" s="29">
        <v>4253168.7651515286</v>
      </c>
      <c r="M100" s="29">
        <v>8527.58</v>
      </c>
      <c r="N100" s="32">
        <v>5</v>
      </c>
      <c r="O100" s="29">
        <v>3598.6109350920005</v>
      </c>
    </row>
    <row r="101" spans="1:15" x14ac:dyDescent="0.2">
      <c r="A101" s="27" t="s">
        <v>330</v>
      </c>
      <c r="B101" s="28" t="s">
        <v>47</v>
      </c>
      <c r="C101" s="28" t="s">
        <v>133</v>
      </c>
      <c r="D101" s="6">
        <v>50</v>
      </c>
      <c r="E101" s="6">
        <v>9.3000000000000007</v>
      </c>
      <c r="F101" s="29">
        <v>17504.007597579999</v>
      </c>
      <c r="G101" s="29">
        <v>19534.47</v>
      </c>
      <c r="H101" s="6">
        <v>28</v>
      </c>
      <c r="I101" s="29">
        <v>894734.85</v>
      </c>
      <c r="J101" s="29">
        <v>-53074.104045451604</v>
      </c>
      <c r="K101" s="29">
        <v>0</v>
      </c>
      <c r="L101" s="29">
        <v>841660.74595454836</v>
      </c>
      <c r="M101" s="29">
        <v>8527.58</v>
      </c>
      <c r="N101" s="32">
        <v>0</v>
      </c>
      <c r="O101" s="29">
        <v>0</v>
      </c>
    </row>
    <row r="102" spans="1:15" x14ac:dyDescent="0.2">
      <c r="A102" s="27" t="s">
        <v>331</v>
      </c>
      <c r="B102" s="28" t="s">
        <v>134</v>
      </c>
      <c r="C102" s="28" t="s">
        <v>135</v>
      </c>
      <c r="D102" s="6">
        <v>198.2</v>
      </c>
      <c r="E102" s="6">
        <v>79.3</v>
      </c>
      <c r="F102" s="29">
        <v>14518.276185410001</v>
      </c>
      <c r="G102" s="29">
        <v>138155.92000000001</v>
      </c>
      <c r="H102" s="6">
        <v>187</v>
      </c>
      <c r="I102" s="29">
        <v>3016839.72</v>
      </c>
      <c r="J102" s="29">
        <v>-178953.64776249757</v>
      </c>
      <c r="K102" s="29">
        <v>0</v>
      </c>
      <c r="L102" s="29">
        <v>2837886.0722375028</v>
      </c>
      <c r="M102" s="29">
        <v>8527.58</v>
      </c>
      <c r="N102" s="32">
        <v>1</v>
      </c>
      <c r="O102" s="29">
        <v>1161.4620948328002</v>
      </c>
    </row>
    <row r="103" spans="1:15" x14ac:dyDescent="0.2">
      <c r="A103" s="27" t="s">
        <v>332</v>
      </c>
      <c r="B103" s="28" t="s">
        <v>134</v>
      </c>
      <c r="C103" s="28" t="s">
        <v>136</v>
      </c>
      <c r="D103" s="6">
        <v>474.1</v>
      </c>
      <c r="E103" s="6">
        <v>199.3</v>
      </c>
      <c r="F103" s="29">
        <v>9994.6735014999995</v>
      </c>
      <c r="G103" s="29">
        <v>243597.67</v>
      </c>
      <c r="H103" s="6">
        <v>448</v>
      </c>
      <c r="I103" s="29">
        <v>5001262.1500000004</v>
      </c>
      <c r="J103" s="29">
        <v>-296666.11030930449</v>
      </c>
      <c r="K103" s="29">
        <v>0</v>
      </c>
      <c r="L103" s="29">
        <v>4704596.0396906957</v>
      </c>
      <c r="M103" s="29">
        <v>8527.58</v>
      </c>
      <c r="N103" s="32">
        <v>24</v>
      </c>
      <c r="O103" s="29">
        <v>19189.77312288</v>
      </c>
    </row>
    <row r="104" spans="1:15" x14ac:dyDescent="0.2">
      <c r="A104" s="27" t="s">
        <v>333</v>
      </c>
      <c r="B104" s="28" t="s">
        <v>134</v>
      </c>
      <c r="C104" s="28" t="s">
        <v>137</v>
      </c>
      <c r="D104" s="6">
        <v>50</v>
      </c>
      <c r="E104" s="6">
        <v>22.9</v>
      </c>
      <c r="F104" s="29">
        <v>18486.25087788</v>
      </c>
      <c r="G104" s="29">
        <v>50800.22</v>
      </c>
      <c r="H104" s="6">
        <v>36</v>
      </c>
      <c r="I104" s="29">
        <v>975112.76</v>
      </c>
      <c r="J104" s="29">
        <v>-57841.980873202243</v>
      </c>
      <c r="K104" s="29">
        <v>0</v>
      </c>
      <c r="L104" s="29">
        <v>917270.7791267978</v>
      </c>
      <c r="M104" s="29">
        <v>8527.58</v>
      </c>
      <c r="N104" s="32">
        <v>0</v>
      </c>
      <c r="O104" s="29">
        <v>0</v>
      </c>
    </row>
    <row r="105" spans="1:15" x14ac:dyDescent="0.2">
      <c r="A105" s="27" t="s">
        <v>334</v>
      </c>
      <c r="B105" s="28" t="s">
        <v>138</v>
      </c>
      <c r="C105" s="28" t="s">
        <v>139</v>
      </c>
      <c r="D105" s="6">
        <v>2065.6999999999998</v>
      </c>
      <c r="E105" s="6">
        <v>1061.5999999999999</v>
      </c>
      <c r="F105" s="29">
        <v>8766.8300945200008</v>
      </c>
      <c r="G105" s="29">
        <v>1276020.1000000001</v>
      </c>
      <c r="H105" s="6">
        <v>1874</v>
      </c>
      <c r="I105" s="29">
        <v>19413013.539999999</v>
      </c>
      <c r="J105" s="29">
        <v>-1151545.958512425</v>
      </c>
      <c r="K105" s="29">
        <v>0</v>
      </c>
      <c r="L105" s="29">
        <v>18261467.581487574</v>
      </c>
      <c r="M105" s="29">
        <v>8527.58</v>
      </c>
      <c r="N105" s="32">
        <v>39</v>
      </c>
      <c r="O105" s="29">
        <v>27352.509894902407</v>
      </c>
    </row>
    <row r="106" spans="1:15" x14ac:dyDescent="0.2">
      <c r="A106" s="27" t="s">
        <v>335</v>
      </c>
      <c r="B106" s="28" t="s">
        <v>138</v>
      </c>
      <c r="C106" s="28" t="s">
        <v>140</v>
      </c>
      <c r="D106" s="6">
        <v>205.5</v>
      </c>
      <c r="E106" s="6">
        <v>54.4</v>
      </c>
      <c r="F106" s="29">
        <v>14375.9690572</v>
      </c>
      <c r="G106" s="29">
        <v>93846.33</v>
      </c>
      <c r="H106" s="6">
        <v>195</v>
      </c>
      <c r="I106" s="29">
        <v>3048107.97</v>
      </c>
      <c r="J106" s="29">
        <v>-180808.42558166845</v>
      </c>
      <c r="K106" s="29">
        <v>0</v>
      </c>
      <c r="L106" s="29">
        <v>2867299.5444183317</v>
      </c>
      <c r="M106" s="29">
        <v>8527.58</v>
      </c>
      <c r="N106" s="32">
        <v>0</v>
      </c>
      <c r="O106" s="29">
        <v>0</v>
      </c>
    </row>
    <row r="107" spans="1:15" x14ac:dyDescent="0.2">
      <c r="A107" s="27" t="s">
        <v>336</v>
      </c>
      <c r="B107" s="28" t="s">
        <v>138</v>
      </c>
      <c r="C107" s="28" t="s">
        <v>141</v>
      </c>
      <c r="D107" s="6">
        <v>311.5</v>
      </c>
      <c r="E107" s="6">
        <v>94.7</v>
      </c>
      <c r="F107" s="29">
        <v>12069.1175852</v>
      </c>
      <c r="G107" s="29">
        <v>137153.45000000001</v>
      </c>
      <c r="H107" s="6">
        <v>305</v>
      </c>
      <c r="I107" s="29">
        <v>3900545.7</v>
      </c>
      <c r="J107" s="29">
        <v>-231373.5385581984</v>
      </c>
      <c r="K107" s="29">
        <v>0</v>
      </c>
      <c r="L107" s="29">
        <v>3669172.1614418016</v>
      </c>
      <c r="M107" s="29">
        <v>8527.58</v>
      </c>
      <c r="N107" s="32">
        <v>4</v>
      </c>
      <c r="O107" s="29">
        <v>3862.117627264</v>
      </c>
    </row>
    <row r="108" spans="1:15" x14ac:dyDescent="0.2">
      <c r="A108" s="27" t="s">
        <v>337</v>
      </c>
      <c r="B108" s="28" t="s">
        <v>138</v>
      </c>
      <c r="C108" s="28" t="s">
        <v>142</v>
      </c>
      <c r="D108" s="6">
        <v>152.80000000000001</v>
      </c>
      <c r="E108" s="6">
        <v>41</v>
      </c>
      <c r="F108" s="29">
        <v>16072.04331868</v>
      </c>
      <c r="G108" s="29">
        <v>79074.45</v>
      </c>
      <c r="H108" s="6">
        <v>139</v>
      </c>
      <c r="I108" s="29">
        <v>2534882.67</v>
      </c>
      <c r="J108" s="29">
        <v>-150364.79977346602</v>
      </c>
      <c r="K108" s="29">
        <v>0</v>
      </c>
      <c r="L108" s="29">
        <v>2384517.8702265341</v>
      </c>
      <c r="M108" s="29">
        <v>8527.58</v>
      </c>
      <c r="N108" s="32">
        <v>0</v>
      </c>
      <c r="O108" s="29">
        <v>0</v>
      </c>
    </row>
    <row r="109" spans="1:15" x14ac:dyDescent="0.2">
      <c r="A109" s="27" t="s">
        <v>338</v>
      </c>
      <c r="B109" s="28" t="s">
        <v>143</v>
      </c>
      <c r="C109" s="28" t="s">
        <v>144</v>
      </c>
      <c r="D109" s="6">
        <v>163.5</v>
      </c>
      <c r="E109" s="6">
        <v>60.5</v>
      </c>
      <c r="F109" s="29">
        <v>15682.94397957</v>
      </c>
      <c r="G109" s="29">
        <v>113858.17</v>
      </c>
      <c r="H109" s="6">
        <v>155</v>
      </c>
      <c r="I109" s="29">
        <v>2680528.7799999998</v>
      </c>
      <c r="J109" s="29">
        <v>-159004.2718985937</v>
      </c>
      <c r="K109" s="29">
        <v>0</v>
      </c>
      <c r="L109" s="29">
        <v>2521524.508101406</v>
      </c>
      <c r="M109" s="29">
        <v>8527.58</v>
      </c>
      <c r="N109" s="32">
        <v>2</v>
      </c>
      <c r="O109" s="29">
        <v>2509.2710367312002</v>
      </c>
    </row>
    <row r="110" spans="1:15" x14ac:dyDescent="0.2">
      <c r="A110" s="27" t="s">
        <v>339</v>
      </c>
      <c r="B110" s="28" t="s">
        <v>143</v>
      </c>
      <c r="C110" s="28" t="s">
        <v>145</v>
      </c>
      <c r="D110" s="6">
        <v>382</v>
      </c>
      <c r="E110" s="6">
        <v>65.7</v>
      </c>
      <c r="F110" s="29">
        <v>11066.476527340001</v>
      </c>
      <c r="G110" s="29">
        <v>87248.1</v>
      </c>
      <c r="H110" s="6">
        <v>286</v>
      </c>
      <c r="I110" s="29">
        <v>4314642.13</v>
      </c>
      <c r="J110" s="29">
        <v>-255937.0134364487</v>
      </c>
      <c r="K110" s="29">
        <v>0</v>
      </c>
      <c r="L110" s="29">
        <v>4058705.1165635511</v>
      </c>
      <c r="M110" s="29">
        <v>8527.58</v>
      </c>
      <c r="N110" s="32">
        <v>0</v>
      </c>
      <c r="O110" s="29">
        <v>0</v>
      </c>
    </row>
    <row r="111" spans="1:15" x14ac:dyDescent="0.2">
      <c r="A111" s="27" t="s">
        <v>340</v>
      </c>
      <c r="B111" s="28" t="s">
        <v>143</v>
      </c>
      <c r="C111" s="28" t="s">
        <v>146</v>
      </c>
      <c r="D111" s="6">
        <v>21943</v>
      </c>
      <c r="E111" s="6">
        <v>9914.2000000000007</v>
      </c>
      <c r="F111" s="29">
        <v>8414.9715326000005</v>
      </c>
      <c r="G111" s="29">
        <v>10328583.18</v>
      </c>
      <c r="H111" s="6">
        <v>21399</v>
      </c>
      <c r="I111" s="29">
        <v>198913250.36000001</v>
      </c>
      <c r="J111" s="29">
        <v>-11799185.586238878</v>
      </c>
      <c r="K111" s="29">
        <v>0</v>
      </c>
      <c r="L111" s="29">
        <v>187114064.77376112</v>
      </c>
      <c r="M111" s="29">
        <v>8527.58</v>
      </c>
      <c r="N111" s="32">
        <v>482</v>
      </c>
      <c r="O111" s="29">
        <v>324481.30229705601</v>
      </c>
    </row>
    <row r="112" spans="1:15" x14ac:dyDescent="0.2">
      <c r="A112" s="27" t="s">
        <v>341</v>
      </c>
      <c r="B112" s="28" t="s">
        <v>147</v>
      </c>
      <c r="C112" s="28" t="s">
        <v>148</v>
      </c>
      <c r="D112" s="6">
        <v>88.3</v>
      </c>
      <c r="E112" s="6">
        <v>33.200000000000003</v>
      </c>
      <c r="F112" s="29">
        <v>18265.551286909998</v>
      </c>
      <c r="G112" s="29">
        <v>72769.960000000006</v>
      </c>
      <c r="H112" s="6">
        <v>78</v>
      </c>
      <c r="I112" s="29">
        <v>1685618.14</v>
      </c>
      <c r="J112" s="29">
        <v>-99987.915462620687</v>
      </c>
      <c r="K112" s="29">
        <v>0</v>
      </c>
      <c r="L112" s="29">
        <v>1585630.2245373791</v>
      </c>
      <c r="M112" s="29">
        <v>8527.58</v>
      </c>
      <c r="N112" s="32">
        <v>0</v>
      </c>
      <c r="O112" s="29">
        <v>0</v>
      </c>
    </row>
    <row r="113" spans="1:15" x14ac:dyDescent="0.2">
      <c r="A113" s="27" t="s">
        <v>342</v>
      </c>
      <c r="B113" s="28" t="s">
        <v>149</v>
      </c>
      <c r="C113" s="28" t="s">
        <v>149</v>
      </c>
      <c r="D113" s="6">
        <v>2078.9</v>
      </c>
      <c r="E113" s="6">
        <v>866.6</v>
      </c>
      <c r="F113" s="29">
        <v>8588.7681956199995</v>
      </c>
      <c r="G113" s="29">
        <v>908948.65</v>
      </c>
      <c r="H113" s="6">
        <v>1958</v>
      </c>
      <c r="I113" s="29">
        <v>18845893.75</v>
      </c>
      <c r="J113" s="29">
        <v>-1117905.4059613594</v>
      </c>
      <c r="K113" s="29">
        <v>0</v>
      </c>
      <c r="L113" s="29">
        <v>17727988.344038639</v>
      </c>
      <c r="M113" s="29">
        <v>8527.58</v>
      </c>
      <c r="N113" s="32">
        <v>94</v>
      </c>
      <c r="O113" s="29">
        <v>64587.536831062396</v>
      </c>
    </row>
    <row r="114" spans="1:15" x14ac:dyDescent="0.2">
      <c r="A114" s="27" t="s">
        <v>343</v>
      </c>
      <c r="B114" s="28" t="s">
        <v>150</v>
      </c>
      <c r="C114" s="28" t="s">
        <v>150</v>
      </c>
      <c r="D114" s="6">
        <v>2696.6</v>
      </c>
      <c r="E114" s="6">
        <v>1586.2</v>
      </c>
      <c r="F114" s="29">
        <v>8546.5042036300001</v>
      </c>
      <c r="G114" s="29">
        <v>2022706.27</v>
      </c>
      <c r="H114" s="6">
        <v>2496</v>
      </c>
      <c r="I114" s="29">
        <v>25101322.629999999</v>
      </c>
      <c r="J114" s="29">
        <v>-1488966.4898411734</v>
      </c>
      <c r="K114" s="29">
        <v>0</v>
      </c>
      <c r="L114" s="29">
        <v>23612356.140158825</v>
      </c>
      <c r="M114" s="29">
        <v>8527.58</v>
      </c>
      <c r="N114" s="32">
        <v>46</v>
      </c>
      <c r="O114" s="29">
        <v>31451.135469358403</v>
      </c>
    </row>
    <row r="115" spans="1:15" x14ac:dyDescent="0.2">
      <c r="A115" s="27" t="s">
        <v>344</v>
      </c>
      <c r="B115" s="28" t="s">
        <v>150</v>
      </c>
      <c r="C115" s="28" t="s">
        <v>69</v>
      </c>
      <c r="D115" s="6">
        <v>678</v>
      </c>
      <c r="E115" s="6">
        <v>190</v>
      </c>
      <c r="F115" s="29">
        <v>9763.1850629</v>
      </c>
      <c r="G115" s="29">
        <v>222600.62</v>
      </c>
      <c r="H115" s="6">
        <v>659</v>
      </c>
      <c r="I115" s="29">
        <v>6851412.75</v>
      </c>
      <c r="J115" s="29">
        <v>-406413.80309689924</v>
      </c>
      <c r="K115" s="29">
        <v>0</v>
      </c>
      <c r="L115" s="29">
        <v>6444998.9469031012</v>
      </c>
      <c r="M115" s="29">
        <v>8527.58</v>
      </c>
      <c r="N115" s="32">
        <v>12</v>
      </c>
      <c r="O115" s="29">
        <v>9372.6576603840003</v>
      </c>
    </row>
    <row r="116" spans="1:15" x14ac:dyDescent="0.2">
      <c r="A116" s="27" t="s">
        <v>345</v>
      </c>
      <c r="B116" s="28" t="s">
        <v>150</v>
      </c>
      <c r="C116" s="28" t="s">
        <v>151</v>
      </c>
      <c r="D116" s="6">
        <v>467</v>
      </c>
      <c r="E116" s="6">
        <v>276.3</v>
      </c>
      <c r="F116" s="29">
        <v>10021.30279419</v>
      </c>
      <c r="G116" s="29">
        <v>400147.61</v>
      </c>
      <c r="H116" s="6">
        <v>453</v>
      </c>
      <c r="I116" s="29">
        <v>5041332.72</v>
      </c>
      <c r="J116" s="29">
        <v>-299043.02633234812</v>
      </c>
      <c r="K116" s="29">
        <v>0</v>
      </c>
      <c r="L116" s="29">
        <v>4742289.6936676521</v>
      </c>
      <c r="M116" s="29">
        <v>8527.58</v>
      </c>
      <c r="N116" s="32">
        <v>21</v>
      </c>
      <c r="O116" s="29">
        <v>16835.7886942392</v>
      </c>
    </row>
    <row r="117" spans="1:15" x14ac:dyDescent="0.2">
      <c r="A117" s="27" t="s">
        <v>346</v>
      </c>
      <c r="B117" s="28" t="s">
        <v>152</v>
      </c>
      <c r="C117" s="28" t="s">
        <v>152</v>
      </c>
      <c r="D117" s="6">
        <v>5884.1</v>
      </c>
      <c r="E117" s="6">
        <v>3041</v>
      </c>
      <c r="F117" s="29">
        <v>8921.1937346899995</v>
      </c>
      <c r="G117" s="29">
        <v>3565750.99</v>
      </c>
      <c r="H117" s="6">
        <v>5753</v>
      </c>
      <c r="I117" s="29">
        <v>56273769.390000001</v>
      </c>
      <c r="J117" s="29">
        <v>-3338061.4286283916</v>
      </c>
      <c r="K117" s="29">
        <v>0</v>
      </c>
      <c r="L117" s="29">
        <v>52935707.961371608</v>
      </c>
      <c r="M117" s="29">
        <v>8527.58</v>
      </c>
      <c r="N117" s="32">
        <v>301</v>
      </c>
      <c r="O117" s="29">
        <v>214822.3451313352</v>
      </c>
    </row>
    <row r="118" spans="1:15" x14ac:dyDescent="0.2">
      <c r="A118" s="27" t="s">
        <v>347</v>
      </c>
      <c r="B118" s="28" t="s">
        <v>152</v>
      </c>
      <c r="C118" s="28" t="s">
        <v>153</v>
      </c>
      <c r="D118" s="6">
        <v>257.5</v>
      </c>
      <c r="E118" s="6">
        <v>132.4</v>
      </c>
      <c r="F118" s="29">
        <v>14387.177450470001</v>
      </c>
      <c r="G118" s="29">
        <v>228583.48</v>
      </c>
      <c r="H118" s="6">
        <v>237</v>
      </c>
      <c r="I118" s="29">
        <v>3933281.67</v>
      </c>
      <c r="J118" s="29">
        <v>-233315.37895684698</v>
      </c>
      <c r="K118" s="29">
        <v>0</v>
      </c>
      <c r="L118" s="29">
        <v>3699966.291043153</v>
      </c>
      <c r="M118" s="29">
        <v>8527.58</v>
      </c>
      <c r="N118" s="32">
        <v>0</v>
      </c>
      <c r="O118" s="29">
        <v>0</v>
      </c>
    </row>
    <row r="119" spans="1:15" x14ac:dyDescent="0.2">
      <c r="A119" s="27" t="s">
        <v>348</v>
      </c>
      <c r="B119" s="28" t="s">
        <v>154</v>
      </c>
      <c r="C119" s="28" t="s">
        <v>155</v>
      </c>
      <c r="D119" s="6">
        <v>1411.9</v>
      </c>
      <c r="E119" s="6">
        <v>659.8</v>
      </c>
      <c r="F119" s="29">
        <v>9231.5994127499998</v>
      </c>
      <c r="G119" s="29">
        <v>784654.75</v>
      </c>
      <c r="H119" s="6">
        <v>1296</v>
      </c>
      <c r="I119" s="29">
        <v>13884478.949999999</v>
      </c>
      <c r="J119" s="29">
        <v>-823602.97065570054</v>
      </c>
      <c r="K119" s="29">
        <v>0</v>
      </c>
      <c r="L119" s="29">
        <v>13060875.979344299</v>
      </c>
      <c r="M119" s="29">
        <v>8527.58</v>
      </c>
      <c r="N119" s="32">
        <v>89</v>
      </c>
      <c r="O119" s="29">
        <v>65728.987818780006</v>
      </c>
    </row>
    <row r="120" spans="1:15" x14ac:dyDescent="0.2">
      <c r="A120" s="27" t="s">
        <v>349</v>
      </c>
      <c r="B120" s="28" t="s">
        <v>154</v>
      </c>
      <c r="C120" s="28" t="s">
        <v>156</v>
      </c>
      <c r="D120" s="6">
        <v>3282.5</v>
      </c>
      <c r="E120" s="6">
        <v>1479.7</v>
      </c>
      <c r="F120" s="29">
        <v>8784.4704823299999</v>
      </c>
      <c r="G120" s="29">
        <v>1609663.47</v>
      </c>
      <c r="H120" s="6">
        <v>3191</v>
      </c>
      <c r="I120" s="29">
        <v>30820663.170000002</v>
      </c>
      <c r="J120" s="29">
        <v>-1828227.7524278823</v>
      </c>
      <c r="K120" s="29">
        <v>0</v>
      </c>
      <c r="L120" s="29">
        <v>28992435.417572118</v>
      </c>
      <c r="M120" s="29">
        <v>8527.58</v>
      </c>
      <c r="N120" s="32">
        <v>535</v>
      </c>
      <c r="O120" s="29">
        <v>375975.336643724</v>
      </c>
    </row>
    <row r="121" spans="1:15" x14ac:dyDescent="0.2">
      <c r="A121" s="27" t="s">
        <v>350</v>
      </c>
      <c r="B121" s="28" t="s">
        <v>154</v>
      </c>
      <c r="C121" s="28" t="s">
        <v>157</v>
      </c>
      <c r="D121" s="6">
        <v>210.5</v>
      </c>
      <c r="E121" s="6">
        <v>69.099999999999994</v>
      </c>
      <c r="F121" s="29">
        <v>14782.7304437</v>
      </c>
      <c r="G121" s="29">
        <v>122578.4</v>
      </c>
      <c r="H121" s="6">
        <v>200</v>
      </c>
      <c r="I121" s="29">
        <v>3234343.16</v>
      </c>
      <c r="J121" s="29">
        <v>-191855.57083479507</v>
      </c>
      <c r="K121" s="29">
        <v>0</v>
      </c>
      <c r="L121" s="29">
        <v>3042487.5891652051</v>
      </c>
      <c r="M121" s="29">
        <v>8527.58</v>
      </c>
      <c r="N121" s="32">
        <v>0</v>
      </c>
      <c r="O121" s="29">
        <v>0</v>
      </c>
    </row>
    <row r="122" spans="1:15" x14ac:dyDescent="0.2">
      <c r="A122" s="27" t="s">
        <v>351</v>
      </c>
      <c r="B122" s="28" t="s">
        <v>154</v>
      </c>
      <c r="C122" s="28" t="s">
        <v>158</v>
      </c>
      <c r="D122" s="6">
        <v>798.5</v>
      </c>
      <c r="E122" s="6">
        <v>255.1</v>
      </c>
      <c r="F122" s="29">
        <v>9650.0726417999995</v>
      </c>
      <c r="G122" s="29">
        <v>295408.02</v>
      </c>
      <c r="H122" s="6">
        <v>748</v>
      </c>
      <c r="I122" s="29">
        <v>8041907.3300000001</v>
      </c>
      <c r="J122" s="29">
        <v>-477031.85626032104</v>
      </c>
      <c r="K122" s="29">
        <v>0</v>
      </c>
      <c r="L122" s="29">
        <v>7564875.473739679</v>
      </c>
      <c r="M122" s="29">
        <v>8527.58</v>
      </c>
      <c r="N122" s="32">
        <v>53</v>
      </c>
      <c r="O122" s="29">
        <v>40916.308001231999</v>
      </c>
    </row>
    <row r="123" spans="1:15" x14ac:dyDescent="0.2">
      <c r="A123" s="27" t="s">
        <v>352</v>
      </c>
      <c r="B123" s="28" t="s">
        <v>159</v>
      </c>
      <c r="C123" s="28" t="s">
        <v>160</v>
      </c>
      <c r="D123" s="6">
        <v>1450.2</v>
      </c>
      <c r="E123" s="6">
        <v>1035.5</v>
      </c>
      <c r="F123" s="29">
        <v>8916.8216261500002</v>
      </c>
      <c r="G123" s="29">
        <v>1629121.94</v>
      </c>
      <c r="H123" s="6">
        <v>1351</v>
      </c>
      <c r="I123" s="29">
        <v>14574563.57</v>
      </c>
      <c r="J123" s="29">
        <v>-864537.58153181197</v>
      </c>
      <c r="K123" s="29">
        <v>0</v>
      </c>
      <c r="L123" s="29">
        <v>13710025.988468189</v>
      </c>
      <c r="M123" s="29">
        <v>8527.58</v>
      </c>
      <c r="N123" s="32">
        <v>20</v>
      </c>
      <c r="O123" s="29">
        <v>14266.914601840001</v>
      </c>
    </row>
    <row r="124" spans="1:15" x14ac:dyDescent="0.2">
      <c r="A124" s="27" t="s">
        <v>353</v>
      </c>
      <c r="B124" s="28" t="s">
        <v>159</v>
      </c>
      <c r="C124" s="28" t="s">
        <v>161</v>
      </c>
      <c r="D124" s="6">
        <v>782.6</v>
      </c>
      <c r="E124" s="6">
        <v>557.29999999999995</v>
      </c>
      <c r="F124" s="29">
        <v>9407.0647017299998</v>
      </c>
      <c r="G124" s="29">
        <v>999143.53</v>
      </c>
      <c r="H124" s="6">
        <v>673</v>
      </c>
      <c r="I124" s="29">
        <v>8375411.1100000003</v>
      </c>
      <c r="J124" s="29">
        <v>-496814.71631016867</v>
      </c>
      <c r="K124" s="29">
        <v>0</v>
      </c>
      <c r="L124" s="29">
        <v>7878596.3936898317</v>
      </c>
      <c r="M124" s="29">
        <v>8527.58</v>
      </c>
      <c r="N124" s="32">
        <v>19</v>
      </c>
      <c r="O124" s="29">
        <v>14298.738346629601</v>
      </c>
    </row>
    <row r="125" spans="1:15" x14ac:dyDescent="0.2">
      <c r="A125" s="27" t="s">
        <v>354</v>
      </c>
      <c r="B125" s="28" t="s">
        <v>159</v>
      </c>
      <c r="C125" s="28" t="s">
        <v>162</v>
      </c>
      <c r="D125" s="6">
        <v>160.69999999999999</v>
      </c>
      <c r="E125" s="6">
        <v>121.4</v>
      </c>
      <c r="F125" s="29">
        <v>15823.87409261</v>
      </c>
      <c r="G125" s="29">
        <v>230522.2</v>
      </c>
      <c r="H125" s="6">
        <v>150</v>
      </c>
      <c r="I125" s="29">
        <v>2778482.41</v>
      </c>
      <c r="J125" s="29">
        <v>-164814.70965034739</v>
      </c>
      <c r="K125" s="29">
        <v>0</v>
      </c>
      <c r="L125" s="29">
        <v>2613667.7003496527</v>
      </c>
      <c r="M125" s="29">
        <v>8527.58</v>
      </c>
      <c r="N125" s="32">
        <v>4</v>
      </c>
      <c r="O125" s="29">
        <v>5063.6397096352002</v>
      </c>
    </row>
    <row r="126" spans="1:15" x14ac:dyDescent="0.2">
      <c r="A126" s="27" t="s">
        <v>355</v>
      </c>
      <c r="B126" s="28" t="s">
        <v>159</v>
      </c>
      <c r="C126" s="28" t="s">
        <v>163</v>
      </c>
      <c r="D126" s="6">
        <v>382.4</v>
      </c>
      <c r="E126" s="6">
        <v>211</v>
      </c>
      <c r="F126" s="29">
        <v>10882.65523586</v>
      </c>
      <c r="G126" s="29">
        <v>275548.83</v>
      </c>
      <c r="H126" s="6">
        <v>366</v>
      </c>
      <c r="I126" s="29">
        <v>4438817.41</v>
      </c>
      <c r="J126" s="29">
        <v>-263302.87353521772</v>
      </c>
      <c r="K126" s="29">
        <v>0</v>
      </c>
      <c r="L126" s="29">
        <v>4175514.5364647824</v>
      </c>
      <c r="M126" s="29">
        <v>8527.58</v>
      </c>
      <c r="N126" s="32">
        <v>2</v>
      </c>
      <c r="O126" s="29">
        <v>1741.2248377376</v>
      </c>
    </row>
    <row r="127" spans="1:15" x14ac:dyDescent="0.2">
      <c r="A127" s="27" t="s">
        <v>356</v>
      </c>
      <c r="B127" s="28" t="s">
        <v>159</v>
      </c>
      <c r="C127" s="28" t="s">
        <v>164</v>
      </c>
      <c r="D127" s="6">
        <v>224</v>
      </c>
      <c r="E127" s="6">
        <v>90.7</v>
      </c>
      <c r="F127" s="29">
        <v>13825.132520429999</v>
      </c>
      <c r="G127" s="29">
        <v>150472.74</v>
      </c>
      <c r="H127" s="6">
        <v>217</v>
      </c>
      <c r="I127" s="29">
        <v>3248408.43</v>
      </c>
      <c r="J127" s="29">
        <v>-192689.89801385527</v>
      </c>
      <c r="K127" s="29">
        <v>0</v>
      </c>
      <c r="L127" s="29">
        <v>3055718.5319861448</v>
      </c>
      <c r="M127" s="29">
        <v>8527.58</v>
      </c>
      <c r="N127" s="32">
        <v>1</v>
      </c>
      <c r="O127" s="29">
        <v>1106.0106016344</v>
      </c>
    </row>
    <row r="128" spans="1:15" x14ac:dyDescent="0.2">
      <c r="A128" s="27" t="s">
        <v>357</v>
      </c>
      <c r="B128" s="28" t="s">
        <v>159</v>
      </c>
      <c r="C128" s="28" t="s">
        <v>165</v>
      </c>
      <c r="D128" s="6">
        <v>331.8</v>
      </c>
      <c r="E128" s="6">
        <v>144.9</v>
      </c>
      <c r="F128" s="29">
        <v>11622.786421070001</v>
      </c>
      <c r="G128" s="29">
        <v>202097.01</v>
      </c>
      <c r="H128" s="6">
        <v>312</v>
      </c>
      <c r="I128" s="29">
        <v>4058537.54</v>
      </c>
      <c r="J128" s="29">
        <v>-240745.33776160749</v>
      </c>
      <c r="K128" s="29">
        <v>0</v>
      </c>
      <c r="L128" s="29">
        <v>3817792.2022383926</v>
      </c>
      <c r="M128" s="29">
        <v>8527.58</v>
      </c>
      <c r="N128" s="32">
        <v>0</v>
      </c>
      <c r="O128" s="29">
        <v>0</v>
      </c>
    </row>
    <row r="129" spans="1:15" x14ac:dyDescent="0.2">
      <c r="A129" s="27" t="s">
        <v>358</v>
      </c>
      <c r="B129" s="28" t="s">
        <v>166</v>
      </c>
      <c r="C129" s="28" t="s">
        <v>166</v>
      </c>
      <c r="D129" s="6">
        <v>178</v>
      </c>
      <c r="E129" s="6">
        <v>49.8</v>
      </c>
      <c r="F129" s="29">
        <v>17270.92342829</v>
      </c>
      <c r="G129" s="29">
        <v>103211.04</v>
      </c>
      <c r="H129" s="6">
        <v>172</v>
      </c>
      <c r="I129" s="29">
        <v>3195397.17</v>
      </c>
      <c r="J129" s="29">
        <v>-189545.36292748808</v>
      </c>
      <c r="K129" s="29">
        <v>0</v>
      </c>
      <c r="L129" s="29">
        <v>3005851.8070725119</v>
      </c>
      <c r="M129" s="29">
        <v>8527.58</v>
      </c>
      <c r="N129" s="32">
        <v>13</v>
      </c>
      <c r="O129" s="29">
        <v>17961.7603654216</v>
      </c>
    </row>
    <row r="130" spans="1:15" x14ac:dyDescent="0.2">
      <c r="A130" s="27" t="s">
        <v>359</v>
      </c>
      <c r="B130" s="28" t="s">
        <v>166</v>
      </c>
      <c r="C130" s="28" t="s">
        <v>167</v>
      </c>
      <c r="D130" s="6">
        <v>325.7</v>
      </c>
      <c r="E130" s="6">
        <v>48</v>
      </c>
      <c r="F130" s="29">
        <v>13025.05483024</v>
      </c>
      <c r="G130" s="29">
        <v>75024.320000000007</v>
      </c>
      <c r="H130" s="6">
        <v>309</v>
      </c>
      <c r="I130" s="29">
        <v>4319368.6900000004</v>
      </c>
      <c r="J130" s="29">
        <v>-256217.38469640029</v>
      </c>
      <c r="K130" s="29">
        <v>0</v>
      </c>
      <c r="L130" s="29">
        <v>4063151.3053036002</v>
      </c>
      <c r="M130" s="29">
        <v>8527.58</v>
      </c>
      <c r="N130" s="32">
        <v>2</v>
      </c>
      <c r="O130" s="29">
        <v>2084.0087728384001</v>
      </c>
    </row>
    <row r="131" spans="1:15" x14ac:dyDescent="0.2">
      <c r="A131" s="27" t="s">
        <v>360</v>
      </c>
      <c r="B131" s="28" t="s">
        <v>168</v>
      </c>
      <c r="C131" s="28" t="s">
        <v>169</v>
      </c>
      <c r="D131" s="6">
        <v>817</v>
      </c>
      <c r="E131" s="6">
        <v>125.1</v>
      </c>
      <c r="F131" s="29">
        <v>10083.885192010001</v>
      </c>
      <c r="G131" s="29">
        <v>151379.28</v>
      </c>
      <c r="H131" s="6">
        <v>756</v>
      </c>
      <c r="I131" s="29">
        <v>8390155.0199999996</v>
      </c>
      <c r="J131" s="29">
        <v>-497689.29922529345</v>
      </c>
      <c r="K131" s="29">
        <v>0</v>
      </c>
      <c r="L131" s="29">
        <v>7892465.7207747065</v>
      </c>
      <c r="M131" s="29">
        <v>8527.58</v>
      </c>
      <c r="N131" s="32">
        <v>2</v>
      </c>
      <c r="O131" s="29">
        <v>1613.4216307216002</v>
      </c>
    </row>
    <row r="132" spans="1:15" x14ac:dyDescent="0.2">
      <c r="A132" s="27" t="s">
        <v>361</v>
      </c>
      <c r="B132" s="28" t="s">
        <v>168</v>
      </c>
      <c r="C132" s="28" t="s">
        <v>168</v>
      </c>
      <c r="D132" s="6">
        <v>614.29999999999995</v>
      </c>
      <c r="E132" s="6">
        <v>190.8</v>
      </c>
      <c r="F132" s="29">
        <v>10258.431843570001</v>
      </c>
      <c r="G132" s="29">
        <v>234877.06</v>
      </c>
      <c r="H132" s="6">
        <v>527</v>
      </c>
      <c r="I132" s="29">
        <v>6541555.79</v>
      </c>
      <c r="J132" s="29">
        <v>-388033.63098865142</v>
      </c>
      <c r="K132" s="29">
        <v>0</v>
      </c>
      <c r="L132" s="29">
        <v>6153522.1590113491</v>
      </c>
      <c r="M132" s="29">
        <v>8527.58</v>
      </c>
      <c r="N132" s="32">
        <v>6</v>
      </c>
      <c r="O132" s="29">
        <v>4924.0472849136004</v>
      </c>
    </row>
    <row r="133" spans="1:15" x14ac:dyDescent="0.2">
      <c r="A133" s="27" t="s">
        <v>362</v>
      </c>
      <c r="B133" s="28" t="s">
        <v>170</v>
      </c>
      <c r="C133" s="28" t="s">
        <v>171</v>
      </c>
      <c r="D133" s="6">
        <v>602.79999999999995</v>
      </c>
      <c r="E133" s="6">
        <v>301.7</v>
      </c>
      <c r="F133" s="29">
        <v>9589.6994556999998</v>
      </c>
      <c r="G133" s="29">
        <v>378013.87</v>
      </c>
      <c r="H133" s="6">
        <v>577</v>
      </c>
      <c r="I133" s="29">
        <v>6219291.5999999996</v>
      </c>
      <c r="J133" s="29">
        <v>-368917.48372984817</v>
      </c>
      <c r="K133" s="29">
        <v>0</v>
      </c>
      <c r="L133" s="29">
        <v>5850374.116270151</v>
      </c>
      <c r="M133" s="29">
        <v>8527.58</v>
      </c>
      <c r="N133" s="32">
        <v>79</v>
      </c>
      <c r="O133" s="29">
        <v>60606.900560023998</v>
      </c>
    </row>
    <row r="134" spans="1:15" x14ac:dyDescent="0.2">
      <c r="A134" s="27" t="s">
        <v>363</v>
      </c>
      <c r="B134" s="28" t="s">
        <v>170</v>
      </c>
      <c r="C134" s="28" t="s">
        <v>172</v>
      </c>
      <c r="D134" s="6">
        <v>320.3</v>
      </c>
      <c r="E134" s="6">
        <v>112.5</v>
      </c>
      <c r="F134" s="29">
        <v>11281.543042990001</v>
      </c>
      <c r="G134" s="29">
        <v>152300.82999999999</v>
      </c>
      <c r="H134" s="6">
        <v>306</v>
      </c>
      <c r="I134" s="29">
        <v>3768486.64</v>
      </c>
      <c r="J134" s="29">
        <v>-223540.02643940193</v>
      </c>
      <c r="K134" s="29">
        <v>0</v>
      </c>
      <c r="L134" s="29">
        <v>3544946.6135605983</v>
      </c>
      <c r="M134" s="29">
        <v>8527.58</v>
      </c>
      <c r="N134" s="32">
        <v>3</v>
      </c>
      <c r="O134" s="29">
        <v>2707.5703303176001</v>
      </c>
    </row>
    <row r="135" spans="1:15" x14ac:dyDescent="0.2">
      <c r="A135" s="27" t="s">
        <v>364</v>
      </c>
      <c r="B135" s="28" t="s">
        <v>173</v>
      </c>
      <c r="C135" s="28" t="s">
        <v>174</v>
      </c>
      <c r="D135" s="6">
        <v>1653</v>
      </c>
      <c r="E135" s="6">
        <v>61</v>
      </c>
      <c r="F135" s="29">
        <v>12252.698413579999</v>
      </c>
      <c r="G135" s="29">
        <v>89689.75</v>
      </c>
      <c r="H135" s="6">
        <v>1634</v>
      </c>
      <c r="I135" s="29">
        <v>20394371.460000001</v>
      </c>
      <c r="J135" s="29">
        <v>-1209758.3913375328</v>
      </c>
      <c r="K135" s="29">
        <v>0</v>
      </c>
      <c r="L135" s="29">
        <v>19184613.068662468</v>
      </c>
      <c r="M135" s="29">
        <v>8527.58</v>
      </c>
      <c r="N135" s="32">
        <v>52</v>
      </c>
      <c r="O135" s="29">
        <v>50971.225400492796</v>
      </c>
    </row>
    <row r="136" spans="1:15" x14ac:dyDescent="0.2">
      <c r="A136" s="27" t="s">
        <v>365</v>
      </c>
      <c r="B136" s="28" t="s">
        <v>175</v>
      </c>
      <c r="C136" s="28" t="s">
        <v>176</v>
      </c>
      <c r="D136" s="6">
        <v>186.8</v>
      </c>
      <c r="E136" s="6">
        <v>122.4</v>
      </c>
      <c r="F136" s="29">
        <v>14404.90136324</v>
      </c>
      <c r="G136" s="29">
        <v>211579.19</v>
      </c>
      <c r="H136" s="6">
        <v>181</v>
      </c>
      <c r="I136" s="29">
        <v>2920853.03</v>
      </c>
      <c r="J136" s="29">
        <v>-173259.88544616604</v>
      </c>
      <c r="K136" s="29">
        <v>0</v>
      </c>
      <c r="L136" s="29">
        <v>2747593.1445538336</v>
      </c>
      <c r="M136" s="29">
        <v>8527.58</v>
      </c>
      <c r="N136" s="32">
        <v>16</v>
      </c>
      <c r="O136" s="29">
        <v>18438.273744947201</v>
      </c>
    </row>
    <row r="137" spans="1:15" x14ac:dyDescent="0.2">
      <c r="A137" s="27" t="s">
        <v>366</v>
      </c>
      <c r="B137" s="28" t="s">
        <v>175</v>
      </c>
      <c r="C137" s="28" t="s">
        <v>177</v>
      </c>
      <c r="D137" s="6">
        <v>1517</v>
      </c>
      <c r="E137" s="6">
        <v>1017.5</v>
      </c>
      <c r="F137" s="29">
        <v>8815.2149776900005</v>
      </c>
      <c r="G137" s="29">
        <v>1454263.3</v>
      </c>
      <c r="H137" s="6">
        <v>1453</v>
      </c>
      <c r="I137" s="29">
        <v>14859831.59</v>
      </c>
      <c r="J137" s="29">
        <v>-881459.18079031853</v>
      </c>
      <c r="K137" s="29">
        <v>0</v>
      </c>
      <c r="L137" s="29">
        <v>13978372.409209682</v>
      </c>
      <c r="M137" s="29">
        <v>8527.58</v>
      </c>
      <c r="N137" s="32">
        <v>47</v>
      </c>
      <c r="O137" s="29">
        <v>33145.208316114404</v>
      </c>
    </row>
    <row r="138" spans="1:15" x14ac:dyDescent="0.2">
      <c r="A138" s="27" t="s">
        <v>367</v>
      </c>
      <c r="B138" s="28" t="s">
        <v>175</v>
      </c>
      <c r="C138" s="28" t="s">
        <v>178</v>
      </c>
      <c r="D138" s="6">
        <v>285</v>
      </c>
      <c r="E138" s="6">
        <v>160.69999999999999</v>
      </c>
      <c r="F138" s="29">
        <v>11446.196268420001</v>
      </c>
      <c r="G138" s="29">
        <v>220728.45</v>
      </c>
      <c r="H138" s="6">
        <v>249</v>
      </c>
      <c r="I138" s="29">
        <v>3511280.96</v>
      </c>
      <c r="J138" s="29">
        <v>-208283.0360344779</v>
      </c>
      <c r="K138" s="29">
        <v>0</v>
      </c>
      <c r="L138" s="29">
        <v>3302997.9239655221</v>
      </c>
      <c r="M138" s="29">
        <v>8527.58</v>
      </c>
      <c r="N138" s="32">
        <v>31</v>
      </c>
      <c r="O138" s="29">
        <v>28386.566745681601</v>
      </c>
    </row>
    <row r="139" spans="1:15" x14ac:dyDescent="0.2">
      <c r="A139" s="27" t="s">
        <v>368</v>
      </c>
      <c r="B139" s="28" t="s">
        <v>175</v>
      </c>
      <c r="C139" s="28" t="s">
        <v>179</v>
      </c>
      <c r="D139" s="6">
        <v>257.60000000000002</v>
      </c>
      <c r="E139" s="6">
        <v>102.6</v>
      </c>
      <c r="F139" s="29">
        <v>12360.16913036</v>
      </c>
      <c r="G139" s="29">
        <v>152178.4</v>
      </c>
      <c r="H139" s="6">
        <v>249</v>
      </c>
      <c r="I139" s="29">
        <v>3334487.43</v>
      </c>
      <c r="J139" s="29">
        <v>-197795.95351412825</v>
      </c>
      <c r="K139" s="29">
        <v>0</v>
      </c>
      <c r="L139" s="29">
        <v>3136691.4764858717</v>
      </c>
      <c r="M139" s="29">
        <v>8527.58</v>
      </c>
      <c r="N139" s="32">
        <v>2</v>
      </c>
      <c r="O139" s="29">
        <v>1977.6270608576001</v>
      </c>
    </row>
    <row r="140" spans="1:15" x14ac:dyDescent="0.2">
      <c r="A140" s="27" t="s">
        <v>369</v>
      </c>
      <c r="B140" s="28" t="s">
        <v>180</v>
      </c>
      <c r="C140" s="28" t="s">
        <v>181</v>
      </c>
      <c r="D140" s="6">
        <v>15772</v>
      </c>
      <c r="E140" s="6">
        <v>11131.7</v>
      </c>
      <c r="F140" s="29">
        <v>8608.1328986000008</v>
      </c>
      <c r="G140" s="29">
        <v>17035723.809999999</v>
      </c>
      <c r="H140" s="6">
        <v>14410</v>
      </c>
      <c r="I140" s="29">
        <v>153063817.43000001</v>
      </c>
      <c r="J140" s="29">
        <v>-9079477.5366957355</v>
      </c>
      <c r="K140" s="29">
        <v>0</v>
      </c>
      <c r="L140" s="29">
        <v>143984339.89330426</v>
      </c>
      <c r="M140" s="29">
        <v>8527.58</v>
      </c>
      <c r="N140" s="32">
        <v>378</v>
      </c>
      <c r="O140" s="29">
        <v>260309.938853664</v>
      </c>
    </row>
    <row r="141" spans="1:15" x14ac:dyDescent="0.2">
      <c r="A141" s="27" t="s">
        <v>370</v>
      </c>
      <c r="B141" s="28" t="s">
        <v>180</v>
      </c>
      <c r="C141" s="28" t="s">
        <v>182</v>
      </c>
      <c r="D141" s="6">
        <v>10124</v>
      </c>
      <c r="E141" s="6">
        <v>4782.3</v>
      </c>
      <c r="F141" s="29">
        <v>8522.2559577400007</v>
      </c>
      <c r="G141" s="29">
        <v>5119976.6399999997</v>
      </c>
      <c r="H141" s="6">
        <v>9926</v>
      </c>
      <c r="I141" s="29">
        <v>91698156</v>
      </c>
      <c r="J141" s="29">
        <v>-5439373.9914345043</v>
      </c>
      <c r="K141" s="29">
        <v>0</v>
      </c>
      <c r="L141" s="29">
        <v>86258782.0085655</v>
      </c>
      <c r="M141" s="29">
        <v>8527.58</v>
      </c>
      <c r="N141" s="32">
        <v>177</v>
      </c>
      <c r="O141" s="29">
        <v>120675.1443615984</v>
      </c>
    </row>
    <row r="142" spans="1:15" x14ac:dyDescent="0.2">
      <c r="A142" s="27" t="s">
        <v>371</v>
      </c>
      <c r="B142" s="28" t="s">
        <v>183</v>
      </c>
      <c r="C142" s="28" t="s">
        <v>184</v>
      </c>
      <c r="D142" s="6">
        <v>699.4</v>
      </c>
      <c r="E142" s="6">
        <v>244.8</v>
      </c>
      <c r="F142" s="29">
        <v>9499.2569546300001</v>
      </c>
      <c r="G142" s="29">
        <v>279050.17</v>
      </c>
      <c r="H142" s="6">
        <v>681</v>
      </c>
      <c r="I142" s="29">
        <v>6931949.7699999996</v>
      </c>
      <c r="J142" s="29">
        <v>-411191.11805114587</v>
      </c>
      <c r="K142" s="29">
        <v>0</v>
      </c>
      <c r="L142" s="29">
        <v>6520758.6519488534</v>
      </c>
      <c r="M142" s="29">
        <v>8527.58</v>
      </c>
      <c r="N142" s="32">
        <v>12</v>
      </c>
      <c r="O142" s="29">
        <v>9119.2866764448008</v>
      </c>
    </row>
    <row r="143" spans="1:15" x14ac:dyDescent="0.2">
      <c r="A143" s="27" t="s">
        <v>372</v>
      </c>
      <c r="B143" s="28" t="s">
        <v>183</v>
      </c>
      <c r="C143" s="28" t="s">
        <v>185</v>
      </c>
      <c r="D143" s="6">
        <v>477.1</v>
      </c>
      <c r="E143" s="6">
        <v>192.4</v>
      </c>
      <c r="F143" s="29">
        <v>9695.2803183399992</v>
      </c>
      <c r="G143" s="29">
        <v>224779.06</v>
      </c>
      <c r="H143" s="6">
        <v>466</v>
      </c>
      <c r="I143" s="29">
        <v>4851172.92</v>
      </c>
      <c r="J143" s="29">
        <v>-287763.0800885394</v>
      </c>
      <c r="K143" s="29">
        <v>0</v>
      </c>
      <c r="L143" s="29">
        <v>4563409.8399114609</v>
      </c>
      <c r="M143" s="29">
        <v>8527.58</v>
      </c>
      <c r="N143" s="32">
        <v>1</v>
      </c>
      <c r="O143" s="29">
        <v>775.62242546719995</v>
      </c>
    </row>
    <row r="144" spans="1:15" x14ac:dyDescent="0.2">
      <c r="A144" s="27" t="s">
        <v>373</v>
      </c>
      <c r="B144" s="28" t="s">
        <v>186</v>
      </c>
      <c r="C144" s="28" t="s">
        <v>187</v>
      </c>
      <c r="D144" s="6">
        <v>427.7</v>
      </c>
      <c r="E144" s="6">
        <v>172.7</v>
      </c>
      <c r="F144" s="29">
        <v>10264.862428029999</v>
      </c>
      <c r="G144" s="29">
        <v>212729.01</v>
      </c>
      <c r="H144" s="6">
        <v>403</v>
      </c>
      <c r="I144" s="29">
        <v>4603100.1900000004</v>
      </c>
      <c r="J144" s="29">
        <v>-273047.8402799422</v>
      </c>
      <c r="K144" s="29">
        <v>0</v>
      </c>
      <c r="L144" s="29">
        <v>4330052.349720058</v>
      </c>
      <c r="M144" s="29">
        <v>8527.58</v>
      </c>
      <c r="N144" s="32">
        <v>2</v>
      </c>
      <c r="O144" s="29">
        <v>1642.3779884848</v>
      </c>
    </row>
    <row r="145" spans="1:15" x14ac:dyDescent="0.2">
      <c r="A145" s="27" t="s">
        <v>374</v>
      </c>
      <c r="B145" s="28" t="s">
        <v>186</v>
      </c>
      <c r="C145" s="28" t="s">
        <v>188</v>
      </c>
      <c r="D145" s="6">
        <v>1092</v>
      </c>
      <c r="E145" s="6">
        <v>698.8</v>
      </c>
      <c r="F145" s="29">
        <v>8917.2370196299998</v>
      </c>
      <c r="G145" s="29">
        <v>994082.61</v>
      </c>
      <c r="H145" s="6">
        <v>1016</v>
      </c>
      <c r="I145" s="29">
        <v>10725664.449999999</v>
      </c>
      <c r="J145" s="29">
        <v>-636227.62763281364</v>
      </c>
      <c r="K145" s="29">
        <v>0</v>
      </c>
      <c r="L145" s="29">
        <v>10089436.822367186</v>
      </c>
      <c r="M145" s="29">
        <v>8527.58</v>
      </c>
      <c r="N145" s="32">
        <v>18</v>
      </c>
      <c r="O145" s="29">
        <v>12840.821308267199</v>
      </c>
    </row>
    <row r="146" spans="1:15" x14ac:dyDescent="0.2">
      <c r="A146" s="27" t="s">
        <v>375</v>
      </c>
      <c r="B146" s="28" t="s">
        <v>186</v>
      </c>
      <c r="C146" s="28" t="s">
        <v>189</v>
      </c>
      <c r="D146" s="6">
        <v>360.6</v>
      </c>
      <c r="E146" s="6">
        <v>109</v>
      </c>
      <c r="F146" s="29">
        <v>11080.863434000001</v>
      </c>
      <c r="G146" s="29">
        <v>144937.69</v>
      </c>
      <c r="H146" s="6">
        <v>327</v>
      </c>
      <c r="I146" s="29">
        <v>4140697.04</v>
      </c>
      <c r="J146" s="29">
        <v>-245618.89538744744</v>
      </c>
      <c r="K146" s="29">
        <v>0</v>
      </c>
      <c r="L146" s="29">
        <v>3895078.1446125526</v>
      </c>
      <c r="M146" s="29">
        <v>8527.58</v>
      </c>
      <c r="N146" s="32">
        <v>0</v>
      </c>
      <c r="O146" s="29">
        <v>0</v>
      </c>
    </row>
    <row r="147" spans="1:15" x14ac:dyDescent="0.2">
      <c r="A147" s="27" t="s">
        <v>376</v>
      </c>
      <c r="B147" s="28" t="s">
        <v>190</v>
      </c>
      <c r="C147" s="28" t="s">
        <v>191</v>
      </c>
      <c r="D147" s="6">
        <v>406</v>
      </c>
      <c r="E147" s="6">
        <v>80.099999999999994</v>
      </c>
      <c r="F147" s="29">
        <v>11546.856092280001</v>
      </c>
      <c r="G147" s="29">
        <v>110988.38</v>
      </c>
      <c r="H147" s="6">
        <v>399</v>
      </c>
      <c r="I147" s="29">
        <v>4803630.6900000004</v>
      </c>
      <c r="J147" s="29">
        <v>-284942.95828198094</v>
      </c>
      <c r="K147" s="29">
        <v>0</v>
      </c>
      <c r="L147" s="29">
        <v>4518687.7317180196</v>
      </c>
      <c r="M147" s="29">
        <v>8527.58</v>
      </c>
      <c r="N147" s="32">
        <v>5</v>
      </c>
      <c r="O147" s="29">
        <v>4618.7424369119999</v>
      </c>
    </row>
    <row r="148" spans="1:15" x14ac:dyDescent="0.2">
      <c r="A148" s="27" t="s">
        <v>377</v>
      </c>
      <c r="B148" s="28" t="s">
        <v>190</v>
      </c>
      <c r="C148" s="28" t="s">
        <v>192</v>
      </c>
      <c r="D148" s="6">
        <v>2758.5</v>
      </c>
      <c r="E148" s="6">
        <v>103</v>
      </c>
      <c r="F148" s="29">
        <v>9331.5687720799997</v>
      </c>
      <c r="G148" s="29">
        <v>115338.19</v>
      </c>
      <c r="H148" s="6">
        <v>2715</v>
      </c>
      <c r="I148" s="29">
        <v>25960237.690000001</v>
      </c>
      <c r="J148" s="29">
        <v>-1539915.8266873301</v>
      </c>
      <c r="K148" s="29">
        <v>0</v>
      </c>
      <c r="L148" s="29">
        <v>24420321.863312673</v>
      </c>
      <c r="M148" s="29">
        <v>8527.58</v>
      </c>
      <c r="N148" s="32">
        <v>139</v>
      </c>
      <c r="O148" s="29">
        <v>103767.04474552959</v>
      </c>
    </row>
    <row r="149" spans="1:15" x14ac:dyDescent="0.2">
      <c r="A149" s="27" t="s">
        <v>378</v>
      </c>
      <c r="B149" s="28" t="s">
        <v>190</v>
      </c>
      <c r="C149" s="28" t="s">
        <v>193</v>
      </c>
      <c r="D149" s="6">
        <v>312</v>
      </c>
      <c r="E149" s="6">
        <v>99.3</v>
      </c>
      <c r="F149" s="29">
        <v>12894.705672210001</v>
      </c>
      <c r="G149" s="29">
        <v>153653.31</v>
      </c>
      <c r="H149" s="6">
        <v>303</v>
      </c>
      <c r="I149" s="29">
        <v>4179839.81</v>
      </c>
      <c r="J149" s="29">
        <v>-247940.775939666</v>
      </c>
      <c r="K149" s="29">
        <v>0</v>
      </c>
      <c r="L149" s="29">
        <v>3931899.0340603339</v>
      </c>
      <c r="M149" s="29">
        <v>8527.58</v>
      </c>
      <c r="N149" s="32">
        <v>7</v>
      </c>
      <c r="O149" s="29">
        <v>7221.0351764376001</v>
      </c>
    </row>
    <row r="150" spans="1:15" x14ac:dyDescent="0.2">
      <c r="A150" s="27" t="s">
        <v>379</v>
      </c>
      <c r="B150" s="28" t="s">
        <v>194</v>
      </c>
      <c r="C150" s="28" t="s">
        <v>195</v>
      </c>
      <c r="D150" s="6">
        <v>161.30000000000001</v>
      </c>
      <c r="E150" s="6">
        <v>99</v>
      </c>
      <c r="F150" s="29">
        <v>15218.83504211</v>
      </c>
      <c r="G150" s="29">
        <v>180799.76</v>
      </c>
      <c r="H150" s="6">
        <v>170</v>
      </c>
      <c r="I150" s="29">
        <v>2638032.86</v>
      </c>
      <c r="J150" s="29">
        <v>-156483.48836189878</v>
      </c>
      <c r="K150" s="29">
        <v>0</v>
      </c>
      <c r="L150" s="29">
        <v>2481549.3716381011</v>
      </c>
      <c r="M150" s="29">
        <v>8527.58</v>
      </c>
      <c r="N150" s="32">
        <v>2</v>
      </c>
      <c r="O150" s="29">
        <v>2435.0136067376002</v>
      </c>
    </row>
    <row r="151" spans="1:15" x14ac:dyDescent="0.2">
      <c r="A151" s="27" t="s">
        <v>380</v>
      </c>
      <c r="B151" s="28" t="s">
        <v>194</v>
      </c>
      <c r="C151" s="28" t="s">
        <v>149</v>
      </c>
      <c r="D151" s="6">
        <v>227.1</v>
      </c>
      <c r="E151" s="6">
        <v>166</v>
      </c>
      <c r="F151" s="29">
        <v>15153.479399309999</v>
      </c>
      <c r="G151" s="29">
        <v>301857.31</v>
      </c>
      <c r="H151" s="6">
        <v>202</v>
      </c>
      <c r="I151" s="29">
        <v>3745637.04</v>
      </c>
      <c r="J151" s="29">
        <v>-222184.6281917569</v>
      </c>
      <c r="K151" s="29">
        <v>0</v>
      </c>
      <c r="L151" s="29">
        <v>3523452.411808243</v>
      </c>
      <c r="M151" s="29">
        <v>8527.58</v>
      </c>
      <c r="N151" s="32">
        <v>2</v>
      </c>
      <c r="O151" s="29">
        <v>2424.5567038896002</v>
      </c>
    </row>
    <row r="152" spans="1:15" x14ac:dyDescent="0.2">
      <c r="A152" s="27" t="s">
        <v>381</v>
      </c>
      <c r="B152" s="28" t="s">
        <v>194</v>
      </c>
      <c r="C152" s="28" t="s">
        <v>196</v>
      </c>
      <c r="D152" s="6">
        <v>622.4</v>
      </c>
      <c r="E152" s="6">
        <v>520.9</v>
      </c>
      <c r="F152" s="29">
        <v>9369.8926407100007</v>
      </c>
      <c r="G152" s="29">
        <v>1021452.28</v>
      </c>
      <c r="H152" s="6">
        <v>575</v>
      </c>
      <c r="I152" s="29">
        <v>6887064.1100000003</v>
      </c>
      <c r="J152" s="29">
        <v>-408528.57932362374</v>
      </c>
      <c r="K152" s="29">
        <v>0</v>
      </c>
      <c r="L152" s="29">
        <v>6478535.530676377</v>
      </c>
      <c r="M152" s="29">
        <v>8527.58</v>
      </c>
      <c r="N152" s="32">
        <v>101</v>
      </c>
      <c r="O152" s="29">
        <v>75708.732536936805</v>
      </c>
    </row>
    <row r="153" spans="1:15" x14ac:dyDescent="0.2">
      <c r="A153" s="27" t="s">
        <v>382</v>
      </c>
      <c r="B153" s="28" t="s">
        <v>197</v>
      </c>
      <c r="C153" s="28" t="s">
        <v>198</v>
      </c>
      <c r="D153" s="6">
        <v>86</v>
      </c>
      <c r="E153" s="6">
        <v>51</v>
      </c>
      <c r="F153" s="29">
        <v>18675.153741149999</v>
      </c>
      <c r="G153" s="29">
        <v>114291.94</v>
      </c>
      <c r="H153" s="6">
        <v>79</v>
      </c>
      <c r="I153" s="29">
        <v>1685479.51</v>
      </c>
      <c r="J153" s="29">
        <v>-99979.692173851043</v>
      </c>
      <c r="K153" s="29">
        <v>0</v>
      </c>
      <c r="L153" s="29">
        <v>1585499.8178261491</v>
      </c>
      <c r="M153" s="29">
        <v>8527.58</v>
      </c>
      <c r="N153" s="32">
        <v>10</v>
      </c>
      <c r="O153" s="29">
        <v>14940.122992920002</v>
      </c>
    </row>
    <row r="154" spans="1:15" x14ac:dyDescent="0.2">
      <c r="A154" s="27" t="s">
        <v>383</v>
      </c>
      <c r="B154" s="28" t="s">
        <v>199</v>
      </c>
      <c r="C154" s="28" t="s">
        <v>200</v>
      </c>
      <c r="D154" s="6">
        <v>905.3</v>
      </c>
      <c r="E154" s="6">
        <v>192.9</v>
      </c>
      <c r="F154" s="29">
        <v>12413.222189120001</v>
      </c>
      <c r="G154" s="29">
        <v>287341.27</v>
      </c>
      <c r="H154" s="6">
        <v>876</v>
      </c>
      <c r="I154" s="29">
        <v>11599510.65</v>
      </c>
      <c r="J154" s="29">
        <v>-688062.65354973485</v>
      </c>
      <c r="K154" s="29">
        <v>0</v>
      </c>
      <c r="L154" s="29">
        <v>10911447.996450266</v>
      </c>
      <c r="M154" s="29">
        <v>8527.58</v>
      </c>
      <c r="N154" s="32">
        <v>75</v>
      </c>
      <c r="O154" s="29">
        <v>74479.33313472</v>
      </c>
    </row>
    <row r="155" spans="1:15" x14ac:dyDescent="0.2">
      <c r="A155" s="27" t="s">
        <v>384</v>
      </c>
      <c r="B155" s="28" t="s">
        <v>199</v>
      </c>
      <c r="C155" s="28" t="s">
        <v>201</v>
      </c>
      <c r="D155" s="6">
        <v>191.3</v>
      </c>
      <c r="E155" s="6">
        <v>59.1</v>
      </c>
      <c r="F155" s="29">
        <v>15984.877087880001</v>
      </c>
      <c r="G155" s="29">
        <v>113364.75</v>
      </c>
      <c r="H155" s="6">
        <v>173</v>
      </c>
      <c r="I155" s="29">
        <v>3171271.74</v>
      </c>
      <c r="J155" s="29">
        <v>-188114.28467904247</v>
      </c>
      <c r="K155" s="29">
        <v>0</v>
      </c>
      <c r="L155" s="29">
        <v>2983157.4553209576</v>
      </c>
      <c r="M155" s="29">
        <v>8527.58</v>
      </c>
      <c r="N155" s="32">
        <v>0</v>
      </c>
      <c r="O155" s="29">
        <v>0</v>
      </c>
    </row>
    <row r="156" spans="1:15" x14ac:dyDescent="0.2">
      <c r="A156" s="27" t="s">
        <v>385</v>
      </c>
      <c r="B156" s="28" t="s">
        <v>202</v>
      </c>
      <c r="C156" s="28" t="s">
        <v>203</v>
      </c>
      <c r="D156" s="6">
        <v>789.2</v>
      </c>
      <c r="E156" s="6">
        <v>374.2</v>
      </c>
      <c r="F156" s="29">
        <v>9276.7461002700002</v>
      </c>
      <c r="G156" s="29">
        <v>442049.02</v>
      </c>
      <c r="H156" s="6">
        <v>753</v>
      </c>
      <c r="I156" s="29">
        <v>7388431.5499999998</v>
      </c>
      <c r="J156" s="29">
        <v>-438268.81764737034</v>
      </c>
      <c r="K156" s="29">
        <v>0</v>
      </c>
      <c r="L156" s="29">
        <v>6950162.7323526293</v>
      </c>
      <c r="M156" s="29">
        <v>8527.58</v>
      </c>
      <c r="N156" s="32">
        <v>12</v>
      </c>
      <c r="O156" s="29">
        <v>8905.6762562592012</v>
      </c>
    </row>
    <row r="157" spans="1:15" x14ac:dyDescent="0.2">
      <c r="A157" s="27" t="s">
        <v>386</v>
      </c>
      <c r="B157" s="28" t="s">
        <v>202</v>
      </c>
      <c r="C157" s="28" t="s">
        <v>204</v>
      </c>
      <c r="D157" s="6">
        <v>142.6</v>
      </c>
      <c r="E157" s="6">
        <v>62.5</v>
      </c>
      <c r="F157" s="29">
        <v>16032.448309290001</v>
      </c>
      <c r="G157" s="29">
        <v>120243.36</v>
      </c>
      <c r="H157" s="6">
        <v>133</v>
      </c>
      <c r="I157" s="29">
        <v>2406470.4900000002</v>
      </c>
      <c r="J157" s="29">
        <v>-142747.61418823566</v>
      </c>
      <c r="K157" s="29">
        <v>0</v>
      </c>
      <c r="L157" s="29">
        <v>2263722.8758117645</v>
      </c>
      <c r="M157" s="29">
        <v>8527.58</v>
      </c>
      <c r="N157" s="32">
        <v>0</v>
      </c>
      <c r="O157" s="29">
        <v>0</v>
      </c>
    </row>
    <row r="158" spans="1:15" x14ac:dyDescent="0.2">
      <c r="A158" s="27" t="s">
        <v>387</v>
      </c>
      <c r="B158" s="28" t="s">
        <v>205</v>
      </c>
      <c r="C158" s="28" t="s">
        <v>205</v>
      </c>
      <c r="D158" s="6">
        <v>3541</v>
      </c>
      <c r="E158" s="6">
        <v>1027.5999999999999</v>
      </c>
      <c r="F158" s="29">
        <v>9566.6762404300007</v>
      </c>
      <c r="G158" s="29">
        <v>1179685.98</v>
      </c>
      <c r="H158" s="6">
        <v>3480</v>
      </c>
      <c r="I158" s="29">
        <v>35497381.630000003</v>
      </c>
      <c r="J158" s="29">
        <v>-2105642.4995312551</v>
      </c>
      <c r="K158" s="29">
        <v>0</v>
      </c>
      <c r="L158" s="29">
        <v>33391739.130468749</v>
      </c>
      <c r="M158" s="29">
        <v>8527.58</v>
      </c>
      <c r="N158" s="32">
        <v>581</v>
      </c>
      <c r="O158" s="29">
        <v>444659.11165518645</v>
      </c>
    </row>
    <row r="159" spans="1:15" x14ac:dyDescent="0.2">
      <c r="A159" s="27" t="s">
        <v>388</v>
      </c>
      <c r="B159" s="28" t="s">
        <v>206</v>
      </c>
      <c r="C159" s="28" t="s">
        <v>207</v>
      </c>
      <c r="D159" s="6">
        <v>347</v>
      </c>
      <c r="E159" s="6">
        <v>151.30000000000001</v>
      </c>
      <c r="F159" s="29">
        <v>11521.2246369</v>
      </c>
      <c r="G159" s="29">
        <v>209179.35</v>
      </c>
      <c r="H159" s="6">
        <v>320</v>
      </c>
      <c r="I159" s="29">
        <v>4207044.3</v>
      </c>
      <c r="J159" s="29">
        <v>-220854.12143999938</v>
      </c>
      <c r="K159" s="29">
        <v>0</v>
      </c>
      <c r="L159" s="29">
        <v>3986190.1785600004</v>
      </c>
      <c r="M159" s="29">
        <v>8527.58</v>
      </c>
      <c r="N159" s="32">
        <v>0</v>
      </c>
      <c r="O159" s="29">
        <v>0</v>
      </c>
    </row>
    <row r="160" spans="1:15" x14ac:dyDescent="0.2">
      <c r="A160" s="27" t="s">
        <v>389</v>
      </c>
      <c r="B160" s="28" t="s">
        <v>206</v>
      </c>
      <c r="C160" s="28" t="s">
        <v>208</v>
      </c>
      <c r="D160" s="6">
        <v>2106.3000000000002</v>
      </c>
      <c r="E160" s="6">
        <v>470.3</v>
      </c>
      <c r="F160" s="29">
        <v>8968.3851955299997</v>
      </c>
      <c r="G160" s="29">
        <v>506139.79</v>
      </c>
      <c r="H160" s="6">
        <v>1717</v>
      </c>
      <c r="I160" s="29">
        <v>19420130.77</v>
      </c>
      <c r="J160" s="29">
        <v>-1151968.1401291748</v>
      </c>
      <c r="K160" s="29">
        <v>0</v>
      </c>
      <c r="L160" s="29">
        <v>18268162.629870825</v>
      </c>
      <c r="M160" s="29">
        <v>8527.58</v>
      </c>
      <c r="N160" s="32">
        <v>34</v>
      </c>
      <c r="O160" s="29">
        <v>24394.007731841601</v>
      </c>
    </row>
    <row r="161" spans="1:15" x14ac:dyDescent="0.2">
      <c r="A161" s="27" t="s">
        <v>390</v>
      </c>
      <c r="B161" s="28" t="s">
        <v>209</v>
      </c>
      <c r="C161" s="28" t="s">
        <v>210</v>
      </c>
      <c r="D161" s="6">
        <v>416</v>
      </c>
      <c r="E161" s="6">
        <v>196.7</v>
      </c>
      <c r="F161" s="29">
        <v>10599.748499359999</v>
      </c>
      <c r="G161" s="29">
        <v>250196.46</v>
      </c>
      <c r="H161" s="6">
        <v>395</v>
      </c>
      <c r="I161" s="29">
        <v>4664779.72</v>
      </c>
      <c r="J161" s="29">
        <v>-276706.56195898994</v>
      </c>
      <c r="K161" s="29">
        <v>0</v>
      </c>
      <c r="L161" s="29">
        <v>4388073.1580410097</v>
      </c>
      <c r="M161" s="29">
        <v>8527.58</v>
      </c>
      <c r="N161" s="32">
        <v>6</v>
      </c>
      <c r="O161" s="29">
        <v>5087.8792796928001</v>
      </c>
    </row>
    <row r="162" spans="1:15" x14ac:dyDescent="0.2">
      <c r="A162" s="27" t="s">
        <v>391</v>
      </c>
      <c r="B162" s="28" t="s">
        <v>209</v>
      </c>
      <c r="C162" s="28" t="s">
        <v>211</v>
      </c>
      <c r="D162" s="6">
        <v>101.3</v>
      </c>
      <c r="E162" s="6">
        <v>45.7</v>
      </c>
      <c r="F162" s="29">
        <v>17397.452961120001</v>
      </c>
      <c r="G162" s="29">
        <v>95407.63</v>
      </c>
      <c r="H162" s="6">
        <v>86</v>
      </c>
      <c r="I162" s="29">
        <v>1864728.59</v>
      </c>
      <c r="J162" s="29">
        <v>-110612.43361895233</v>
      </c>
      <c r="K162" s="29">
        <v>0</v>
      </c>
      <c r="L162" s="29">
        <v>1754116.1563810478</v>
      </c>
      <c r="M162" s="29">
        <v>8527.58</v>
      </c>
      <c r="N162" s="32">
        <v>5</v>
      </c>
      <c r="O162" s="29">
        <v>6958.9811844480009</v>
      </c>
    </row>
    <row r="163" spans="1:15" x14ac:dyDescent="0.2">
      <c r="A163" s="27" t="s">
        <v>392</v>
      </c>
      <c r="B163" s="28" t="s">
        <v>209</v>
      </c>
      <c r="C163" s="28" t="s">
        <v>212</v>
      </c>
      <c r="D163" s="6">
        <v>217.7</v>
      </c>
      <c r="E163" s="6">
        <v>102.8</v>
      </c>
      <c r="F163" s="29">
        <v>14136.617602869999</v>
      </c>
      <c r="G163" s="29">
        <v>174389.31</v>
      </c>
      <c r="H163" s="6">
        <v>199</v>
      </c>
      <c r="I163" s="29">
        <v>3251930.96</v>
      </c>
      <c r="J163" s="29">
        <v>-192898.84832323823</v>
      </c>
      <c r="K163" s="29">
        <v>0</v>
      </c>
      <c r="L163" s="29">
        <v>3059032.1116767619</v>
      </c>
      <c r="M163" s="29">
        <v>8527.58</v>
      </c>
      <c r="N163" s="32">
        <v>0</v>
      </c>
      <c r="O163" s="29">
        <v>0</v>
      </c>
    </row>
    <row r="164" spans="1:15" x14ac:dyDescent="0.2">
      <c r="A164" s="27" t="s">
        <v>393</v>
      </c>
      <c r="B164" s="28" t="s">
        <v>209</v>
      </c>
      <c r="C164" s="28" t="s">
        <v>213</v>
      </c>
      <c r="D164" s="6">
        <v>132</v>
      </c>
      <c r="E164" s="6">
        <v>27</v>
      </c>
      <c r="F164" s="29">
        <v>16829.274739230001</v>
      </c>
      <c r="G164" s="29">
        <v>54526.85</v>
      </c>
      <c r="H164" s="6">
        <v>125</v>
      </c>
      <c r="I164" s="29">
        <v>2277337.46</v>
      </c>
      <c r="J164" s="29">
        <v>-135087.66904367754</v>
      </c>
      <c r="K164" s="29">
        <v>0</v>
      </c>
      <c r="L164" s="29">
        <v>2142249.7909563226</v>
      </c>
      <c r="M164" s="29">
        <v>8527.58</v>
      </c>
      <c r="N164" s="32">
        <v>1</v>
      </c>
      <c r="O164" s="29">
        <v>1346.3419791384001</v>
      </c>
    </row>
    <row r="165" spans="1:15" x14ac:dyDescent="0.2">
      <c r="A165" s="27" t="s">
        <v>394</v>
      </c>
      <c r="B165" s="28" t="s">
        <v>209</v>
      </c>
      <c r="C165" s="28" t="s">
        <v>214</v>
      </c>
      <c r="D165" s="6">
        <v>84</v>
      </c>
      <c r="E165" s="6">
        <v>26</v>
      </c>
      <c r="F165" s="29">
        <v>17791.32695766</v>
      </c>
      <c r="G165" s="29">
        <v>55508.94</v>
      </c>
      <c r="H165" s="6">
        <v>65</v>
      </c>
      <c r="I165" s="29">
        <v>1549980.4</v>
      </c>
      <c r="J165" s="29">
        <v>-91942.122314796041</v>
      </c>
      <c r="K165" s="29">
        <v>0</v>
      </c>
      <c r="L165" s="29">
        <v>1458038.2776852038</v>
      </c>
      <c r="M165" s="29">
        <v>8527.58</v>
      </c>
      <c r="N165" s="32">
        <v>0</v>
      </c>
      <c r="O165" s="29">
        <v>0</v>
      </c>
    </row>
    <row r="166" spans="1:15" x14ac:dyDescent="0.2">
      <c r="A166" s="27" t="s">
        <v>395</v>
      </c>
      <c r="B166" s="28" t="s">
        <v>215</v>
      </c>
      <c r="C166" s="28" t="s">
        <v>216</v>
      </c>
      <c r="D166" s="6">
        <v>1869.7</v>
      </c>
      <c r="E166" s="6">
        <v>753.5</v>
      </c>
      <c r="F166" s="29">
        <v>8946.5045231000004</v>
      </c>
      <c r="G166" s="29">
        <v>815487.22</v>
      </c>
      <c r="H166" s="6">
        <v>1778</v>
      </c>
      <c r="I166" s="29">
        <v>17664439.190000001</v>
      </c>
      <c r="J166" s="29">
        <v>-1047823.5909494449</v>
      </c>
      <c r="K166" s="29">
        <v>0</v>
      </c>
      <c r="L166" s="29">
        <v>16616615.599050557</v>
      </c>
      <c r="M166" s="29">
        <v>8527.58</v>
      </c>
      <c r="N166" s="32">
        <v>170</v>
      </c>
      <c r="O166" s="29">
        <v>121672.46151416001</v>
      </c>
    </row>
    <row r="167" spans="1:15" x14ac:dyDescent="0.2">
      <c r="A167" s="27" t="s">
        <v>396</v>
      </c>
      <c r="B167" s="28" t="s">
        <v>215</v>
      </c>
      <c r="C167" s="28" t="s">
        <v>217</v>
      </c>
      <c r="D167" s="6">
        <v>2049.5</v>
      </c>
      <c r="E167" s="6">
        <v>582.4</v>
      </c>
      <c r="F167" s="29">
        <v>8807.3121669299999</v>
      </c>
      <c r="G167" s="29">
        <v>615525.43000000005</v>
      </c>
      <c r="H167" s="6">
        <v>1987</v>
      </c>
      <c r="I167" s="29">
        <v>18717546.420000002</v>
      </c>
      <c r="J167" s="29">
        <v>-1110292.0671645352</v>
      </c>
      <c r="K167" s="29">
        <v>0</v>
      </c>
      <c r="L167" s="29">
        <v>17607254.352835465</v>
      </c>
      <c r="M167" s="29">
        <v>8527.58</v>
      </c>
      <c r="N167" s="32">
        <v>73</v>
      </c>
      <c r="O167" s="29">
        <v>51434.703054871199</v>
      </c>
    </row>
    <row r="168" spans="1:15" x14ac:dyDescent="0.2">
      <c r="A168" s="27" t="s">
        <v>397</v>
      </c>
      <c r="B168" s="28" t="s">
        <v>215</v>
      </c>
      <c r="C168" s="28" t="s">
        <v>218</v>
      </c>
      <c r="D168" s="6">
        <v>2573.5</v>
      </c>
      <c r="E168" s="6">
        <v>795.3</v>
      </c>
      <c r="F168" s="29">
        <v>8802.2439738899993</v>
      </c>
      <c r="G168" s="29">
        <v>840050.96</v>
      </c>
      <c r="H168" s="6">
        <v>2524</v>
      </c>
      <c r="I168" s="29">
        <v>23663037.27</v>
      </c>
      <c r="J168" s="29">
        <v>-1403649.9216492786</v>
      </c>
      <c r="K168" s="29">
        <v>0</v>
      </c>
      <c r="L168" s="29">
        <v>22259387.348350722</v>
      </c>
      <c r="M168" s="29">
        <v>8527.58</v>
      </c>
      <c r="N168" s="32">
        <v>242</v>
      </c>
      <c r="O168" s="29">
        <v>170411.44333451038</v>
      </c>
    </row>
    <row r="169" spans="1:15" x14ac:dyDescent="0.2">
      <c r="A169" s="27" t="s">
        <v>398</v>
      </c>
      <c r="B169" s="28" t="s">
        <v>215</v>
      </c>
      <c r="C169" s="28" t="s">
        <v>219</v>
      </c>
      <c r="D169" s="6">
        <v>7929</v>
      </c>
      <c r="E169" s="6">
        <v>1045.8</v>
      </c>
      <c r="F169" s="29">
        <v>8585.6659767100009</v>
      </c>
      <c r="G169" s="29">
        <v>1077466.74</v>
      </c>
      <c r="H169" s="6">
        <v>7917</v>
      </c>
      <c r="I169" s="29">
        <v>71878922.280000001</v>
      </c>
      <c r="J169" s="29">
        <v>-4263731.7633974459</v>
      </c>
      <c r="K169" s="29">
        <v>0</v>
      </c>
      <c r="L169" s="29">
        <v>67615190.516602561</v>
      </c>
      <c r="M169" s="29">
        <v>8527.58</v>
      </c>
      <c r="N169" s="32">
        <v>119</v>
      </c>
      <c r="O169" s="29">
        <v>81735.540098279205</v>
      </c>
    </row>
    <row r="170" spans="1:15" x14ac:dyDescent="0.2">
      <c r="A170" s="27" t="s">
        <v>399</v>
      </c>
      <c r="B170" s="28" t="s">
        <v>215</v>
      </c>
      <c r="C170" s="28" t="s">
        <v>220</v>
      </c>
      <c r="D170" s="6">
        <v>3767</v>
      </c>
      <c r="E170" s="6">
        <v>434.5</v>
      </c>
      <c r="F170" s="29">
        <v>8627.9139187399996</v>
      </c>
      <c r="G170" s="29">
        <v>449859.43</v>
      </c>
      <c r="H170" s="6">
        <v>3645</v>
      </c>
      <c r="I170" s="29">
        <v>34149060.439999998</v>
      </c>
      <c r="J170" s="29">
        <v>-2025662.4483186</v>
      </c>
      <c r="K170" s="29">
        <v>0</v>
      </c>
      <c r="L170" s="29">
        <v>32123397.991681397</v>
      </c>
      <c r="M170" s="29">
        <v>8527.58</v>
      </c>
      <c r="N170" s="32">
        <v>65</v>
      </c>
      <c r="O170" s="29">
        <v>44865.152377447994</v>
      </c>
    </row>
    <row r="171" spans="1:15" x14ac:dyDescent="0.2">
      <c r="A171" s="27" t="s">
        <v>400</v>
      </c>
      <c r="B171" s="28" t="s">
        <v>215</v>
      </c>
      <c r="C171" s="28" t="s">
        <v>221</v>
      </c>
      <c r="D171" s="6">
        <v>22681.1</v>
      </c>
      <c r="E171" s="6">
        <v>14506.4</v>
      </c>
      <c r="F171" s="29">
        <v>8669.7231251600006</v>
      </c>
      <c r="G171" s="29">
        <v>19521707.539999999</v>
      </c>
      <c r="H171" s="6">
        <v>21765</v>
      </c>
      <c r="I171" s="29">
        <v>218039762.74000001</v>
      </c>
      <c r="J171" s="29">
        <v>-12933736.797788018</v>
      </c>
      <c r="K171" s="29">
        <v>0</v>
      </c>
      <c r="L171" s="29">
        <v>205106025.94221199</v>
      </c>
      <c r="M171" s="29">
        <v>8527.58</v>
      </c>
      <c r="N171" s="32">
        <v>2672</v>
      </c>
      <c r="O171" s="29">
        <v>1853240.0152342017</v>
      </c>
    </row>
    <row r="172" spans="1:15" x14ac:dyDescent="0.2">
      <c r="A172" s="27" t="s">
        <v>401</v>
      </c>
      <c r="B172" s="28" t="s">
        <v>215</v>
      </c>
      <c r="C172" s="28" t="s">
        <v>204</v>
      </c>
      <c r="D172" s="6">
        <v>1127.3</v>
      </c>
      <c r="E172" s="6">
        <v>507.6</v>
      </c>
      <c r="F172" s="29">
        <v>9257.8890735700006</v>
      </c>
      <c r="G172" s="29">
        <v>585160.71</v>
      </c>
      <c r="H172" s="6">
        <v>1078</v>
      </c>
      <c r="I172" s="29">
        <v>11048982.41</v>
      </c>
      <c r="J172" s="29">
        <v>-655406.28268218751</v>
      </c>
      <c r="K172" s="29">
        <v>0</v>
      </c>
      <c r="L172" s="29">
        <v>10393576.127317812</v>
      </c>
      <c r="M172" s="29">
        <v>8527.58</v>
      </c>
      <c r="N172" s="32">
        <v>37</v>
      </c>
      <c r="O172" s="29">
        <v>27403.351657767205</v>
      </c>
    </row>
    <row r="173" spans="1:15" x14ac:dyDescent="0.2">
      <c r="A173" s="27" t="s">
        <v>402</v>
      </c>
      <c r="B173" s="28" t="s">
        <v>215</v>
      </c>
      <c r="C173" s="28" t="s">
        <v>222</v>
      </c>
      <c r="D173" s="6">
        <v>2365</v>
      </c>
      <c r="E173" s="6">
        <v>1240.7</v>
      </c>
      <c r="F173" s="29">
        <v>8948.899034</v>
      </c>
      <c r="G173" s="29">
        <v>1480155.06</v>
      </c>
      <c r="H173" s="6">
        <v>2290</v>
      </c>
      <c r="I173" s="29">
        <v>22842608.879999999</v>
      </c>
      <c r="J173" s="29">
        <v>-1354983.5466525939</v>
      </c>
      <c r="K173" s="29">
        <v>0</v>
      </c>
      <c r="L173" s="29">
        <v>21487625.333347406</v>
      </c>
      <c r="M173" s="29">
        <v>8527.58</v>
      </c>
      <c r="N173" s="32">
        <v>277</v>
      </c>
      <c r="O173" s="29">
        <v>198307.60259344001</v>
      </c>
    </row>
    <row r="174" spans="1:15" x14ac:dyDescent="0.2">
      <c r="A174" s="27" t="s">
        <v>403</v>
      </c>
      <c r="B174" s="28" t="s">
        <v>215</v>
      </c>
      <c r="C174" s="28" t="s">
        <v>223</v>
      </c>
      <c r="D174" s="6">
        <v>1041.5</v>
      </c>
      <c r="E174" s="6">
        <v>302</v>
      </c>
      <c r="F174" s="29">
        <v>9230.7700731500008</v>
      </c>
      <c r="G174" s="29">
        <v>334523.11</v>
      </c>
      <c r="H174" s="6">
        <v>1010</v>
      </c>
      <c r="I174" s="29">
        <v>9988985.5299999993</v>
      </c>
      <c r="J174" s="29">
        <v>-592529.12449730828</v>
      </c>
      <c r="K174" s="29">
        <v>0</v>
      </c>
      <c r="L174" s="29">
        <v>9396456.4055026919</v>
      </c>
      <c r="M174" s="29">
        <v>8527.58</v>
      </c>
      <c r="N174" s="32">
        <v>55</v>
      </c>
      <c r="O174" s="29">
        <v>40615.388321860002</v>
      </c>
    </row>
    <row r="175" spans="1:15" x14ac:dyDescent="0.2">
      <c r="A175" s="27" t="s">
        <v>404</v>
      </c>
      <c r="B175" s="28" t="s">
        <v>215</v>
      </c>
      <c r="C175" s="28" t="s">
        <v>224</v>
      </c>
      <c r="D175" s="6">
        <v>182.5</v>
      </c>
      <c r="E175" s="6">
        <v>54.7</v>
      </c>
      <c r="F175" s="29">
        <v>15336.97112944</v>
      </c>
      <c r="G175" s="29">
        <v>100671.88</v>
      </c>
      <c r="H175" s="6">
        <v>171</v>
      </c>
      <c r="I175" s="29">
        <v>2899669.11</v>
      </c>
      <c r="J175" s="29">
        <v>-172003.29241844334</v>
      </c>
      <c r="K175" s="29">
        <v>0</v>
      </c>
      <c r="L175" s="29">
        <v>2727665.8175815567</v>
      </c>
      <c r="M175" s="29">
        <v>8527.58</v>
      </c>
      <c r="N175" s="32">
        <v>0</v>
      </c>
      <c r="O175" s="29">
        <v>0</v>
      </c>
    </row>
    <row r="176" spans="1:15" x14ac:dyDescent="0.2">
      <c r="A176" s="27" t="s">
        <v>405</v>
      </c>
      <c r="B176" s="28" t="s">
        <v>215</v>
      </c>
      <c r="C176" s="28" t="s">
        <v>225</v>
      </c>
      <c r="D176" s="6">
        <v>204</v>
      </c>
      <c r="E176" s="6">
        <v>36</v>
      </c>
      <c r="F176" s="29">
        <v>14664.50683944</v>
      </c>
      <c r="G176" s="29">
        <v>63350.67</v>
      </c>
      <c r="H176" s="6">
        <v>183</v>
      </c>
      <c r="I176" s="29">
        <v>3056083.23</v>
      </c>
      <c r="J176" s="29">
        <v>-181281.50403505552</v>
      </c>
      <c r="K176" s="29">
        <v>0</v>
      </c>
      <c r="L176" s="29">
        <v>2874801.7259649443</v>
      </c>
      <c r="M176" s="29">
        <v>8527.58</v>
      </c>
      <c r="N176" s="32">
        <v>1</v>
      </c>
      <c r="O176" s="29">
        <v>1173.1605471552</v>
      </c>
    </row>
    <row r="177" spans="1:15" x14ac:dyDescent="0.2">
      <c r="A177" s="27" t="s">
        <v>406</v>
      </c>
      <c r="B177" s="28" t="s">
        <v>215</v>
      </c>
      <c r="C177" s="28" t="s">
        <v>226</v>
      </c>
      <c r="D177" s="6">
        <v>70.3</v>
      </c>
      <c r="E177" s="6">
        <v>26</v>
      </c>
      <c r="F177" s="29">
        <v>18704.300277539998</v>
      </c>
      <c r="G177" s="29">
        <v>58357.42</v>
      </c>
      <c r="H177" s="6">
        <v>61</v>
      </c>
      <c r="I177" s="29">
        <v>1373269.73</v>
      </c>
      <c r="J177" s="29">
        <v>104.2788000000146</v>
      </c>
      <c r="K177" s="29">
        <v>0</v>
      </c>
      <c r="L177" s="29">
        <v>1373374.0088</v>
      </c>
      <c r="M177" s="29">
        <v>8527.58</v>
      </c>
      <c r="N177" s="32">
        <v>0</v>
      </c>
      <c r="O177" s="29">
        <v>0</v>
      </c>
    </row>
    <row r="178" spans="1:15" x14ac:dyDescent="0.2">
      <c r="A178" s="30" t="s">
        <v>407</v>
      </c>
      <c r="B178" s="28" t="s">
        <v>227</v>
      </c>
      <c r="C178" s="28" t="s">
        <v>228</v>
      </c>
      <c r="D178" s="6">
        <v>853.8</v>
      </c>
      <c r="E178" s="6">
        <v>540.20000000000005</v>
      </c>
      <c r="F178" s="29">
        <v>9726.4021411499998</v>
      </c>
      <c r="G178" s="29">
        <v>814433.67</v>
      </c>
      <c r="H178" s="6">
        <v>812</v>
      </c>
      <c r="I178" s="29">
        <v>9219990.4000000004</v>
      </c>
      <c r="J178" s="29">
        <v>-546913.68039108452</v>
      </c>
      <c r="K178" s="29">
        <v>0</v>
      </c>
      <c r="L178" s="29">
        <v>8673076.719608916</v>
      </c>
      <c r="M178" s="29">
        <v>8527.58</v>
      </c>
      <c r="N178" s="32">
        <v>130</v>
      </c>
      <c r="O178" s="29">
        <v>101154.58226796</v>
      </c>
    </row>
    <row r="179" spans="1:15" x14ac:dyDescent="0.2">
      <c r="A179" s="30" t="s">
        <v>408</v>
      </c>
      <c r="B179" s="28" t="s">
        <v>227</v>
      </c>
      <c r="C179" s="28" t="s">
        <v>229</v>
      </c>
      <c r="D179" s="6">
        <v>721.2</v>
      </c>
      <c r="E179" s="6">
        <v>385.9</v>
      </c>
      <c r="F179" s="29">
        <v>9606.6993837099999</v>
      </c>
      <c r="G179" s="29">
        <v>503168.08</v>
      </c>
      <c r="H179" s="6">
        <v>692</v>
      </c>
      <c r="I179" s="29">
        <v>7489928.4100000001</v>
      </c>
      <c r="J179" s="29">
        <v>-444289.43359624798</v>
      </c>
      <c r="K179" s="29">
        <v>0</v>
      </c>
      <c r="L179" s="29">
        <v>7045638.9764037523</v>
      </c>
      <c r="M179" s="29">
        <v>8527.58</v>
      </c>
      <c r="N179" s="32">
        <v>76</v>
      </c>
      <c r="O179" s="29">
        <v>58408.732252956797</v>
      </c>
    </row>
    <row r="180" spans="1:15" x14ac:dyDescent="0.2">
      <c r="A180" s="30" t="s">
        <v>409</v>
      </c>
      <c r="B180" s="28" t="s">
        <v>227</v>
      </c>
      <c r="C180" s="28" t="s">
        <v>230</v>
      </c>
      <c r="D180" s="6">
        <v>190.6</v>
      </c>
      <c r="E180" s="6">
        <v>88</v>
      </c>
      <c r="F180" s="29">
        <v>15091.42644949</v>
      </c>
      <c r="G180" s="29">
        <v>159365.46</v>
      </c>
      <c r="H180" s="6">
        <v>172</v>
      </c>
      <c r="I180" s="29">
        <v>3044242.54</v>
      </c>
      <c r="J180" s="29">
        <v>-180579.13504492404</v>
      </c>
      <c r="K180" s="29">
        <v>0</v>
      </c>
      <c r="L180" s="29">
        <v>2863663.4049550761</v>
      </c>
      <c r="M180" s="29">
        <v>8527.58</v>
      </c>
      <c r="N180" s="32">
        <v>7</v>
      </c>
      <c r="O180" s="29">
        <v>8451.198811714401</v>
      </c>
    </row>
    <row r="181" spans="1:15" x14ac:dyDescent="0.2">
      <c r="A181" s="30" t="s">
        <v>410</v>
      </c>
      <c r="B181" s="28" t="s">
        <v>227</v>
      </c>
      <c r="C181" s="28" t="s">
        <v>231</v>
      </c>
      <c r="D181" s="6">
        <v>58.2</v>
      </c>
      <c r="E181" s="6">
        <v>20.2</v>
      </c>
      <c r="F181" s="29">
        <v>19752.482367649998</v>
      </c>
      <c r="G181" s="29">
        <v>47880.02</v>
      </c>
      <c r="H181" s="6">
        <v>53</v>
      </c>
      <c r="I181" s="29">
        <v>1197474.49</v>
      </c>
      <c r="J181" s="29">
        <v>-71032.089198307294</v>
      </c>
      <c r="K181" s="29">
        <v>0</v>
      </c>
      <c r="L181" s="29">
        <v>1126442.4008016926</v>
      </c>
      <c r="M181" s="29">
        <v>8527.58</v>
      </c>
      <c r="N181" s="32">
        <v>0</v>
      </c>
      <c r="O181" s="29">
        <v>0</v>
      </c>
    </row>
    <row r="182" spans="1:15" x14ac:dyDescent="0.2">
      <c r="L182" s="29">
        <f t="shared" ref="L182:L183" si="0">I182+J182</f>
        <v>0</v>
      </c>
    </row>
    <row r="183" spans="1:15" x14ac:dyDescent="0.2">
      <c r="D183" s="29">
        <f t="shared" ref="D183:H183" si="1">SUM(D4:D181)</f>
        <v>886248.9</v>
      </c>
      <c r="E183" s="29">
        <f t="shared" si="1"/>
        <v>327175.2</v>
      </c>
      <c r="F183" s="29">
        <f t="shared" si="1"/>
        <v>2059083.998261173</v>
      </c>
      <c r="G183" s="29">
        <f t="shared" si="1"/>
        <v>406344196.98000008</v>
      </c>
      <c r="H183" s="29">
        <f t="shared" si="1"/>
        <v>846075</v>
      </c>
      <c r="I183" s="29">
        <f>SUM(I4:I181)</f>
        <v>8492431599.7199974</v>
      </c>
      <c r="J183" s="29">
        <f t="shared" ref="J183:K183" si="2">SUM(J4:J181)</f>
        <v>-503267250.00000066</v>
      </c>
      <c r="K183" s="29">
        <f t="shared" si="2"/>
        <v>0</v>
      </c>
      <c r="L183" s="29">
        <f t="shared" si="0"/>
        <v>7989164349.7199965</v>
      </c>
      <c r="N183" s="32">
        <f>SUM(N4:N182)</f>
        <v>59847</v>
      </c>
      <c r="O183" s="29">
        <f>SUM(O4:O182)</f>
        <v>43356578.96897804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B187"/>
  <sheetViews>
    <sheetView workbookViewId="0">
      <pane xSplit="2" ySplit="1" topLeftCell="M26" activePane="bottomRight" state="frozen"/>
      <selection activeCell="A4" sqref="A4"/>
      <selection pane="topRight" activeCell="A4" sqref="A4"/>
      <selection pane="bottomLeft" activeCell="A4" sqref="A4"/>
      <selection pane="bottomRight" activeCell="A26" sqref="A26"/>
    </sheetView>
  </sheetViews>
  <sheetFormatPr defaultRowHeight="15" x14ac:dyDescent="0.25"/>
  <cols>
    <col min="1" max="1" width="15.140625" style="34" customWidth="1"/>
    <col min="2" max="2" width="15.140625" style="34" bestFit="1" customWidth="1"/>
    <col min="3" max="4" width="18.5703125" style="35" bestFit="1" customWidth="1"/>
    <col min="5" max="5" width="20.140625" style="35" bestFit="1" customWidth="1"/>
    <col min="6" max="6" width="16.42578125" style="36" bestFit="1" customWidth="1"/>
    <col min="7" max="7" width="13.5703125" style="36" bestFit="1" customWidth="1"/>
    <col min="8" max="8" width="17.5703125" style="36" bestFit="1" customWidth="1"/>
    <col min="9" max="9" width="15" style="36" customWidth="1"/>
    <col min="10" max="10" width="15.85546875" style="34" customWidth="1"/>
    <col min="11" max="11" width="17.28515625" style="34" customWidth="1"/>
    <col min="12" max="12" width="18.28515625" style="34" customWidth="1"/>
    <col min="13" max="13" width="19.5703125" style="34" bestFit="1" customWidth="1"/>
    <col min="14" max="15" width="9.140625" style="34"/>
    <col min="16" max="16" width="13.140625" style="34" bestFit="1" customWidth="1"/>
    <col min="17" max="20" width="9.140625" style="34"/>
    <col min="21" max="21" width="18.140625" style="37" bestFit="1" customWidth="1"/>
    <col min="22" max="252" width="9.140625" style="37"/>
    <col min="253" max="253" width="15.140625" style="37" customWidth="1"/>
    <col min="254" max="254" width="15.140625" style="37" bestFit="1" customWidth="1"/>
    <col min="255" max="256" width="18.5703125" style="37" bestFit="1" customWidth="1"/>
    <col min="257" max="257" width="16.42578125" style="37" bestFit="1" customWidth="1"/>
    <col min="258" max="258" width="13.5703125" style="37" bestFit="1" customWidth="1"/>
    <col min="259" max="259" width="17.5703125" style="37" bestFit="1" customWidth="1"/>
    <col min="260" max="260" width="17.28515625" style="37" bestFit="1" customWidth="1"/>
    <col min="261" max="261" width="22.5703125" style="37" bestFit="1" customWidth="1"/>
    <col min="262" max="262" width="15.85546875" style="37" bestFit="1" customWidth="1"/>
    <col min="263" max="263" width="17.28515625" style="37" bestFit="1" customWidth="1"/>
    <col min="264" max="264" width="18.28515625" style="37" bestFit="1" customWidth="1"/>
    <col min="265" max="265" width="19.5703125" style="37" bestFit="1" customWidth="1"/>
    <col min="266" max="508" width="9.140625" style="37"/>
    <col min="509" max="509" width="15.140625" style="37" customWidth="1"/>
    <col min="510" max="510" width="15.140625" style="37" bestFit="1" customWidth="1"/>
    <col min="511" max="512" width="18.5703125" style="37" bestFit="1" customWidth="1"/>
    <col min="513" max="513" width="16.42578125" style="37" bestFit="1" customWidth="1"/>
    <col min="514" max="514" width="13.5703125" style="37" bestFit="1" customWidth="1"/>
    <col min="515" max="515" width="17.5703125" style="37" bestFit="1" customWidth="1"/>
    <col min="516" max="516" width="17.28515625" style="37" bestFit="1" customWidth="1"/>
    <col min="517" max="517" width="22.5703125" style="37" bestFit="1" customWidth="1"/>
    <col min="518" max="518" width="15.85546875" style="37" bestFit="1" customWidth="1"/>
    <col min="519" max="519" width="17.28515625" style="37" bestFit="1" customWidth="1"/>
    <col min="520" max="520" width="18.28515625" style="37" bestFit="1" customWidth="1"/>
    <col min="521" max="521" width="19.5703125" style="37" bestFit="1" customWidth="1"/>
    <col min="522" max="764" width="9.140625" style="37"/>
    <col min="765" max="765" width="15.140625" style="37" customWidth="1"/>
    <col min="766" max="766" width="15.140625" style="37" bestFit="1" customWidth="1"/>
    <col min="767" max="768" width="18.5703125" style="37" bestFit="1" customWidth="1"/>
    <col min="769" max="769" width="16.42578125" style="37" bestFit="1" customWidth="1"/>
    <col min="770" max="770" width="13.5703125" style="37" bestFit="1" customWidth="1"/>
    <col min="771" max="771" width="17.5703125" style="37" bestFit="1" customWidth="1"/>
    <col min="772" max="772" width="17.28515625" style="37" bestFit="1" customWidth="1"/>
    <col min="773" max="773" width="22.5703125" style="37" bestFit="1" customWidth="1"/>
    <col min="774" max="774" width="15.85546875" style="37" bestFit="1" customWidth="1"/>
    <col min="775" max="775" width="17.28515625" style="37" bestFit="1" customWidth="1"/>
    <col min="776" max="776" width="18.28515625" style="37" bestFit="1" customWidth="1"/>
    <col min="777" max="777" width="19.5703125" style="37" bestFit="1" customWidth="1"/>
    <col min="778" max="1020" width="9.140625" style="37"/>
    <col min="1021" max="1021" width="15.140625" style="37" customWidth="1"/>
    <col min="1022" max="1022" width="15.140625" style="37" bestFit="1" customWidth="1"/>
    <col min="1023" max="1024" width="18.5703125" style="37" bestFit="1" customWidth="1"/>
    <col min="1025" max="1025" width="16.42578125" style="37" bestFit="1" customWidth="1"/>
    <col min="1026" max="1026" width="13.5703125" style="37" bestFit="1" customWidth="1"/>
    <col min="1027" max="1027" width="17.5703125" style="37" bestFit="1" customWidth="1"/>
    <col min="1028" max="1028" width="17.28515625" style="37" bestFit="1" customWidth="1"/>
    <col min="1029" max="1029" width="22.5703125" style="37" bestFit="1" customWidth="1"/>
    <col min="1030" max="1030" width="15.85546875" style="37" bestFit="1" customWidth="1"/>
    <col min="1031" max="1031" width="17.28515625" style="37" bestFit="1" customWidth="1"/>
    <col min="1032" max="1032" width="18.28515625" style="37" bestFit="1" customWidth="1"/>
    <col min="1033" max="1033" width="19.5703125" style="37" bestFit="1" customWidth="1"/>
    <col min="1034" max="1276" width="9.140625" style="37"/>
    <col min="1277" max="1277" width="15.140625" style="37" customWidth="1"/>
    <col min="1278" max="1278" width="15.140625" style="37" bestFit="1" customWidth="1"/>
    <col min="1279" max="1280" width="18.5703125" style="37" bestFit="1" customWidth="1"/>
    <col min="1281" max="1281" width="16.42578125" style="37" bestFit="1" customWidth="1"/>
    <col min="1282" max="1282" width="13.5703125" style="37" bestFit="1" customWidth="1"/>
    <col min="1283" max="1283" width="17.5703125" style="37" bestFit="1" customWidth="1"/>
    <col min="1284" max="1284" width="17.28515625" style="37" bestFit="1" customWidth="1"/>
    <col min="1285" max="1285" width="22.5703125" style="37" bestFit="1" customWidth="1"/>
    <col min="1286" max="1286" width="15.85546875" style="37" bestFit="1" customWidth="1"/>
    <col min="1287" max="1287" width="17.28515625" style="37" bestFit="1" customWidth="1"/>
    <col min="1288" max="1288" width="18.28515625" style="37" bestFit="1" customWidth="1"/>
    <col min="1289" max="1289" width="19.5703125" style="37" bestFit="1" customWidth="1"/>
    <col min="1290" max="1532" width="9.140625" style="37"/>
    <col min="1533" max="1533" width="15.140625" style="37" customWidth="1"/>
    <col min="1534" max="1534" width="15.140625" style="37" bestFit="1" customWidth="1"/>
    <col min="1535" max="1536" width="18.5703125" style="37" bestFit="1" customWidth="1"/>
    <col min="1537" max="1537" width="16.42578125" style="37" bestFit="1" customWidth="1"/>
    <col min="1538" max="1538" width="13.5703125" style="37" bestFit="1" customWidth="1"/>
    <col min="1539" max="1539" width="17.5703125" style="37" bestFit="1" customWidth="1"/>
    <col min="1540" max="1540" width="17.28515625" style="37" bestFit="1" customWidth="1"/>
    <col min="1541" max="1541" width="22.5703125" style="37" bestFit="1" customWidth="1"/>
    <col min="1542" max="1542" width="15.85546875" style="37" bestFit="1" customWidth="1"/>
    <col min="1543" max="1543" width="17.28515625" style="37" bestFit="1" customWidth="1"/>
    <col min="1544" max="1544" width="18.28515625" style="37" bestFit="1" customWidth="1"/>
    <col min="1545" max="1545" width="19.5703125" style="37" bestFit="1" customWidth="1"/>
    <col min="1546" max="1788" width="9.140625" style="37"/>
    <col min="1789" max="1789" width="15.140625" style="37" customWidth="1"/>
    <col min="1790" max="1790" width="15.140625" style="37" bestFit="1" customWidth="1"/>
    <col min="1791" max="1792" width="18.5703125" style="37" bestFit="1" customWidth="1"/>
    <col min="1793" max="1793" width="16.42578125" style="37" bestFit="1" customWidth="1"/>
    <col min="1794" max="1794" width="13.5703125" style="37" bestFit="1" customWidth="1"/>
    <col min="1795" max="1795" width="17.5703125" style="37" bestFit="1" customWidth="1"/>
    <col min="1796" max="1796" width="17.28515625" style="37" bestFit="1" customWidth="1"/>
    <col min="1797" max="1797" width="22.5703125" style="37" bestFit="1" customWidth="1"/>
    <col min="1798" max="1798" width="15.85546875" style="37" bestFit="1" customWidth="1"/>
    <col min="1799" max="1799" width="17.28515625" style="37" bestFit="1" customWidth="1"/>
    <col min="1800" max="1800" width="18.28515625" style="37" bestFit="1" customWidth="1"/>
    <col min="1801" max="1801" width="19.5703125" style="37" bestFit="1" customWidth="1"/>
    <col min="1802" max="2044" width="9.140625" style="37"/>
    <col min="2045" max="2045" width="15.140625" style="37" customWidth="1"/>
    <col min="2046" max="2046" width="15.140625" style="37" bestFit="1" customWidth="1"/>
    <col min="2047" max="2048" width="18.5703125" style="37" bestFit="1" customWidth="1"/>
    <col min="2049" max="2049" width="16.42578125" style="37" bestFit="1" customWidth="1"/>
    <col min="2050" max="2050" width="13.5703125" style="37" bestFit="1" customWidth="1"/>
    <col min="2051" max="2051" width="17.5703125" style="37" bestFit="1" customWidth="1"/>
    <col min="2052" max="2052" width="17.28515625" style="37" bestFit="1" customWidth="1"/>
    <col min="2053" max="2053" width="22.5703125" style="37" bestFit="1" customWidth="1"/>
    <col min="2054" max="2054" width="15.85546875" style="37" bestFit="1" customWidth="1"/>
    <col min="2055" max="2055" width="17.28515625" style="37" bestFit="1" customWidth="1"/>
    <col min="2056" max="2056" width="18.28515625" style="37" bestFit="1" customWidth="1"/>
    <col min="2057" max="2057" width="19.5703125" style="37" bestFit="1" customWidth="1"/>
    <col min="2058" max="2300" width="9.140625" style="37"/>
    <col min="2301" max="2301" width="15.140625" style="37" customWidth="1"/>
    <col min="2302" max="2302" width="15.140625" style="37" bestFit="1" customWidth="1"/>
    <col min="2303" max="2304" width="18.5703125" style="37" bestFit="1" customWidth="1"/>
    <col min="2305" max="2305" width="16.42578125" style="37" bestFit="1" customWidth="1"/>
    <col min="2306" max="2306" width="13.5703125" style="37" bestFit="1" customWidth="1"/>
    <col min="2307" max="2307" width="17.5703125" style="37" bestFit="1" customWidth="1"/>
    <col min="2308" max="2308" width="17.28515625" style="37" bestFit="1" customWidth="1"/>
    <col min="2309" max="2309" width="22.5703125" style="37" bestFit="1" customWidth="1"/>
    <col min="2310" max="2310" width="15.85546875" style="37" bestFit="1" customWidth="1"/>
    <col min="2311" max="2311" width="17.28515625" style="37" bestFit="1" customWidth="1"/>
    <col min="2312" max="2312" width="18.28515625" style="37" bestFit="1" customWidth="1"/>
    <col min="2313" max="2313" width="19.5703125" style="37" bestFit="1" customWidth="1"/>
    <col min="2314" max="2556" width="9.140625" style="37"/>
    <col min="2557" max="2557" width="15.140625" style="37" customWidth="1"/>
    <col min="2558" max="2558" width="15.140625" style="37" bestFit="1" customWidth="1"/>
    <col min="2559" max="2560" width="18.5703125" style="37" bestFit="1" customWidth="1"/>
    <col min="2561" max="2561" width="16.42578125" style="37" bestFit="1" customWidth="1"/>
    <col min="2562" max="2562" width="13.5703125" style="37" bestFit="1" customWidth="1"/>
    <col min="2563" max="2563" width="17.5703125" style="37" bestFit="1" customWidth="1"/>
    <col min="2564" max="2564" width="17.28515625" style="37" bestFit="1" customWidth="1"/>
    <col min="2565" max="2565" width="22.5703125" style="37" bestFit="1" customWidth="1"/>
    <col min="2566" max="2566" width="15.85546875" style="37" bestFit="1" customWidth="1"/>
    <col min="2567" max="2567" width="17.28515625" style="37" bestFit="1" customWidth="1"/>
    <col min="2568" max="2568" width="18.28515625" style="37" bestFit="1" customWidth="1"/>
    <col min="2569" max="2569" width="19.5703125" style="37" bestFit="1" customWidth="1"/>
    <col min="2570" max="2812" width="9.140625" style="37"/>
    <col min="2813" max="2813" width="15.140625" style="37" customWidth="1"/>
    <col min="2814" max="2814" width="15.140625" style="37" bestFit="1" customWidth="1"/>
    <col min="2815" max="2816" width="18.5703125" style="37" bestFit="1" customWidth="1"/>
    <col min="2817" max="2817" width="16.42578125" style="37" bestFit="1" customWidth="1"/>
    <col min="2818" max="2818" width="13.5703125" style="37" bestFit="1" customWidth="1"/>
    <col min="2819" max="2819" width="17.5703125" style="37" bestFit="1" customWidth="1"/>
    <col min="2820" max="2820" width="17.28515625" style="37" bestFit="1" customWidth="1"/>
    <col min="2821" max="2821" width="22.5703125" style="37" bestFit="1" customWidth="1"/>
    <col min="2822" max="2822" width="15.85546875" style="37" bestFit="1" customWidth="1"/>
    <col min="2823" max="2823" width="17.28515625" style="37" bestFit="1" customWidth="1"/>
    <col min="2824" max="2824" width="18.28515625" style="37" bestFit="1" customWidth="1"/>
    <col min="2825" max="2825" width="19.5703125" style="37" bestFit="1" customWidth="1"/>
    <col min="2826" max="3068" width="9.140625" style="37"/>
    <col min="3069" max="3069" width="15.140625" style="37" customWidth="1"/>
    <col min="3070" max="3070" width="15.140625" style="37" bestFit="1" customWidth="1"/>
    <col min="3071" max="3072" width="18.5703125" style="37" bestFit="1" customWidth="1"/>
    <col min="3073" max="3073" width="16.42578125" style="37" bestFit="1" customWidth="1"/>
    <col min="3074" max="3074" width="13.5703125" style="37" bestFit="1" customWidth="1"/>
    <col min="3075" max="3075" width="17.5703125" style="37" bestFit="1" customWidth="1"/>
    <col min="3076" max="3076" width="17.28515625" style="37" bestFit="1" customWidth="1"/>
    <col min="3077" max="3077" width="22.5703125" style="37" bestFit="1" customWidth="1"/>
    <col min="3078" max="3078" width="15.85546875" style="37" bestFit="1" customWidth="1"/>
    <col min="3079" max="3079" width="17.28515625" style="37" bestFit="1" customWidth="1"/>
    <col min="3080" max="3080" width="18.28515625" style="37" bestFit="1" customWidth="1"/>
    <col min="3081" max="3081" width="19.5703125" style="37" bestFit="1" customWidth="1"/>
    <col min="3082" max="3324" width="9.140625" style="37"/>
    <col min="3325" max="3325" width="15.140625" style="37" customWidth="1"/>
    <col min="3326" max="3326" width="15.140625" style="37" bestFit="1" customWidth="1"/>
    <col min="3327" max="3328" width="18.5703125" style="37" bestFit="1" customWidth="1"/>
    <col min="3329" max="3329" width="16.42578125" style="37" bestFit="1" customWidth="1"/>
    <col min="3330" max="3330" width="13.5703125" style="37" bestFit="1" customWidth="1"/>
    <col min="3331" max="3331" width="17.5703125" style="37" bestFit="1" customWidth="1"/>
    <col min="3332" max="3332" width="17.28515625" style="37" bestFit="1" customWidth="1"/>
    <col min="3333" max="3333" width="22.5703125" style="37" bestFit="1" customWidth="1"/>
    <col min="3334" max="3334" width="15.85546875" style="37" bestFit="1" customWidth="1"/>
    <col min="3335" max="3335" width="17.28515625" style="37" bestFit="1" customWidth="1"/>
    <col min="3336" max="3336" width="18.28515625" style="37" bestFit="1" customWidth="1"/>
    <col min="3337" max="3337" width="19.5703125" style="37" bestFit="1" customWidth="1"/>
    <col min="3338" max="3580" width="9.140625" style="37"/>
    <col min="3581" max="3581" width="15.140625" style="37" customWidth="1"/>
    <col min="3582" max="3582" width="15.140625" style="37" bestFit="1" customWidth="1"/>
    <col min="3583" max="3584" width="18.5703125" style="37" bestFit="1" customWidth="1"/>
    <col min="3585" max="3585" width="16.42578125" style="37" bestFit="1" customWidth="1"/>
    <col min="3586" max="3586" width="13.5703125" style="37" bestFit="1" customWidth="1"/>
    <col min="3587" max="3587" width="17.5703125" style="37" bestFit="1" customWidth="1"/>
    <col min="3588" max="3588" width="17.28515625" style="37" bestFit="1" customWidth="1"/>
    <col min="3589" max="3589" width="22.5703125" style="37" bestFit="1" customWidth="1"/>
    <col min="3590" max="3590" width="15.85546875" style="37" bestFit="1" customWidth="1"/>
    <col min="3591" max="3591" width="17.28515625" style="37" bestFit="1" customWidth="1"/>
    <col min="3592" max="3592" width="18.28515625" style="37" bestFit="1" customWidth="1"/>
    <col min="3593" max="3593" width="19.5703125" style="37" bestFit="1" customWidth="1"/>
    <col min="3594" max="3836" width="9.140625" style="37"/>
    <col min="3837" max="3837" width="15.140625" style="37" customWidth="1"/>
    <col min="3838" max="3838" width="15.140625" style="37" bestFit="1" customWidth="1"/>
    <col min="3839" max="3840" width="18.5703125" style="37" bestFit="1" customWidth="1"/>
    <col min="3841" max="3841" width="16.42578125" style="37" bestFit="1" customWidth="1"/>
    <col min="3842" max="3842" width="13.5703125" style="37" bestFit="1" customWidth="1"/>
    <col min="3843" max="3843" width="17.5703125" style="37" bestFit="1" customWidth="1"/>
    <col min="3844" max="3844" width="17.28515625" style="37" bestFit="1" customWidth="1"/>
    <col min="3845" max="3845" width="22.5703125" style="37" bestFit="1" customWidth="1"/>
    <col min="3846" max="3846" width="15.85546875" style="37" bestFit="1" customWidth="1"/>
    <col min="3847" max="3847" width="17.28515625" style="37" bestFit="1" customWidth="1"/>
    <col min="3848" max="3848" width="18.28515625" style="37" bestFit="1" customWidth="1"/>
    <col min="3849" max="3849" width="19.5703125" style="37" bestFit="1" customWidth="1"/>
    <col min="3850" max="4092" width="9.140625" style="37"/>
    <col min="4093" max="4093" width="15.140625" style="37" customWidth="1"/>
    <col min="4094" max="4094" width="15.140625" style="37" bestFit="1" customWidth="1"/>
    <col min="4095" max="4096" width="18.5703125" style="37" bestFit="1" customWidth="1"/>
    <col min="4097" max="4097" width="16.42578125" style="37" bestFit="1" customWidth="1"/>
    <col min="4098" max="4098" width="13.5703125" style="37" bestFit="1" customWidth="1"/>
    <col min="4099" max="4099" width="17.5703125" style="37" bestFit="1" customWidth="1"/>
    <col min="4100" max="4100" width="17.28515625" style="37" bestFit="1" customWidth="1"/>
    <col min="4101" max="4101" width="22.5703125" style="37" bestFit="1" customWidth="1"/>
    <col min="4102" max="4102" width="15.85546875" style="37" bestFit="1" customWidth="1"/>
    <col min="4103" max="4103" width="17.28515625" style="37" bestFit="1" customWidth="1"/>
    <col min="4104" max="4104" width="18.28515625" style="37" bestFit="1" customWidth="1"/>
    <col min="4105" max="4105" width="19.5703125" style="37" bestFit="1" customWidth="1"/>
    <col min="4106" max="4348" width="9.140625" style="37"/>
    <col min="4349" max="4349" width="15.140625" style="37" customWidth="1"/>
    <col min="4350" max="4350" width="15.140625" style="37" bestFit="1" customWidth="1"/>
    <col min="4351" max="4352" width="18.5703125" style="37" bestFit="1" customWidth="1"/>
    <col min="4353" max="4353" width="16.42578125" style="37" bestFit="1" customWidth="1"/>
    <col min="4354" max="4354" width="13.5703125" style="37" bestFit="1" customWidth="1"/>
    <col min="4355" max="4355" width="17.5703125" style="37" bestFit="1" customWidth="1"/>
    <col min="4356" max="4356" width="17.28515625" style="37" bestFit="1" customWidth="1"/>
    <col min="4357" max="4357" width="22.5703125" style="37" bestFit="1" customWidth="1"/>
    <col min="4358" max="4358" width="15.85546875" style="37" bestFit="1" customWidth="1"/>
    <col min="4359" max="4359" width="17.28515625" style="37" bestFit="1" customWidth="1"/>
    <col min="4360" max="4360" width="18.28515625" style="37" bestFit="1" customWidth="1"/>
    <col min="4361" max="4361" width="19.5703125" style="37" bestFit="1" customWidth="1"/>
    <col min="4362" max="4604" width="9.140625" style="37"/>
    <col min="4605" max="4605" width="15.140625" style="37" customWidth="1"/>
    <col min="4606" max="4606" width="15.140625" style="37" bestFit="1" customWidth="1"/>
    <col min="4607" max="4608" width="18.5703125" style="37" bestFit="1" customWidth="1"/>
    <col min="4609" max="4609" width="16.42578125" style="37" bestFit="1" customWidth="1"/>
    <col min="4610" max="4610" width="13.5703125" style="37" bestFit="1" customWidth="1"/>
    <col min="4611" max="4611" width="17.5703125" style="37" bestFit="1" customWidth="1"/>
    <col min="4612" max="4612" width="17.28515625" style="37" bestFit="1" customWidth="1"/>
    <col min="4613" max="4613" width="22.5703125" style="37" bestFit="1" customWidth="1"/>
    <col min="4614" max="4614" width="15.85546875" style="37" bestFit="1" customWidth="1"/>
    <col min="4615" max="4615" width="17.28515625" style="37" bestFit="1" customWidth="1"/>
    <col min="4616" max="4616" width="18.28515625" style="37" bestFit="1" customWidth="1"/>
    <col min="4617" max="4617" width="19.5703125" style="37" bestFit="1" customWidth="1"/>
    <col min="4618" max="4860" width="9.140625" style="37"/>
    <col min="4861" max="4861" width="15.140625" style="37" customWidth="1"/>
    <col min="4862" max="4862" width="15.140625" style="37" bestFit="1" customWidth="1"/>
    <col min="4863" max="4864" width="18.5703125" style="37" bestFit="1" customWidth="1"/>
    <col min="4865" max="4865" width="16.42578125" style="37" bestFit="1" customWidth="1"/>
    <col min="4866" max="4866" width="13.5703125" style="37" bestFit="1" customWidth="1"/>
    <col min="4867" max="4867" width="17.5703125" style="37" bestFit="1" customWidth="1"/>
    <col min="4868" max="4868" width="17.28515625" style="37" bestFit="1" customWidth="1"/>
    <col min="4869" max="4869" width="22.5703125" style="37" bestFit="1" customWidth="1"/>
    <col min="4870" max="4870" width="15.85546875" style="37" bestFit="1" customWidth="1"/>
    <col min="4871" max="4871" width="17.28515625" style="37" bestFit="1" customWidth="1"/>
    <col min="4872" max="4872" width="18.28515625" style="37" bestFit="1" customWidth="1"/>
    <col min="4873" max="4873" width="19.5703125" style="37" bestFit="1" customWidth="1"/>
    <col min="4874" max="5116" width="9.140625" style="37"/>
    <col min="5117" max="5117" width="15.140625" style="37" customWidth="1"/>
    <col min="5118" max="5118" width="15.140625" style="37" bestFit="1" customWidth="1"/>
    <col min="5119" max="5120" width="18.5703125" style="37" bestFit="1" customWidth="1"/>
    <col min="5121" max="5121" width="16.42578125" style="37" bestFit="1" customWidth="1"/>
    <col min="5122" max="5122" width="13.5703125" style="37" bestFit="1" customWidth="1"/>
    <col min="5123" max="5123" width="17.5703125" style="37" bestFit="1" customWidth="1"/>
    <col min="5124" max="5124" width="17.28515625" style="37" bestFit="1" customWidth="1"/>
    <col min="5125" max="5125" width="22.5703125" style="37" bestFit="1" customWidth="1"/>
    <col min="5126" max="5126" width="15.85546875" style="37" bestFit="1" customWidth="1"/>
    <col min="5127" max="5127" width="17.28515625" style="37" bestFit="1" customWidth="1"/>
    <col min="5128" max="5128" width="18.28515625" style="37" bestFit="1" customWidth="1"/>
    <col min="5129" max="5129" width="19.5703125" style="37" bestFit="1" customWidth="1"/>
    <col min="5130" max="5372" width="9.140625" style="37"/>
    <col min="5373" max="5373" width="15.140625" style="37" customWidth="1"/>
    <col min="5374" max="5374" width="15.140625" style="37" bestFit="1" customWidth="1"/>
    <col min="5375" max="5376" width="18.5703125" style="37" bestFit="1" customWidth="1"/>
    <col min="5377" max="5377" width="16.42578125" style="37" bestFit="1" customWidth="1"/>
    <col min="5378" max="5378" width="13.5703125" style="37" bestFit="1" customWidth="1"/>
    <col min="5379" max="5379" width="17.5703125" style="37" bestFit="1" customWidth="1"/>
    <col min="5380" max="5380" width="17.28515625" style="37" bestFit="1" customWidth="1"/>
    <col min="5381" max="5381" width="22.5703125" style="37" bestFit="1" customWidth="1"/>
    <col min="5382" max="5382" width="15.85546875" style="37" bestFit="1" customWidth="1"/>
    <col min="5383" max="5383" width="17.28515625" style="37" bestFit="1" customWidth="1"/>
    <col min="5384" max="5384" width="18.28515625" style="37" bestFit="1" customWidth="1"/>
    <col min="5385" max="5385" width="19.5703125" style="37" bestFit="1" customWidth="1"/>
    <col min="5386" max="5628" width="9.140625" style="37"/>
    <col min="5629" max="5629" width="15.140625" style="37" customWidth="1"/>
    <col min="5630" max="5630" width="15.140625" style="37" bestFit="1" customWidth="1"/>
    <col min="5631" max="5632" width="18.5703125" style="37" bestFit="1" customWidth="1"/>
    <col min="5633" max="5633" width="16.42578125" style="37" bestFit="1" customWidth="1"/>
    <col min="5634" max="5634" width="13.5703125" style="37" bestFit="1" customWidth="1"/>
    <col min="5635" max="5635" width="17.5703125" style="37" bestFit="1" customWidth="1"/>
    <col min="5636" max="5636" width="17.28515625" style="37" bestFit="1" customWidth="1"/>
    <col min="5637" max="5637" width="22.5703125" style="37" bestFit="1" customWidth="1"/>
    <col min="5638" max="5638" width="15.85546875" style="37" bestFit="1" customWidth="1"/>
    <col min="5639" max="5639" width="17.28515625" style="37" bestFit="1" customWidth="1"/>
    <col min="5640" max="5640" width="18.28515625" style="37" bestFit="1" customWidth="1"/>
    <col min="5641" max="5641" width="19.5703125" style="37" bestFit="1" customWidth="1"/>
    <col min="5642" max="5884" width="9.140625" style="37"/>
    <col min="5885" max="5885" width="15.140625" style="37" customWidth="1"/>
    <col min="5886" max="5886" width="15.140625" style="37" bestFit="1" customWidth="1"/>
    <col min="5887" max="5888" width="18.5703125" style="37" bestFit="1" customWidth="1"/>
    <col min="5889" max="5889" width="16.42578125" style="37" bestFit="1" customWidth="1"/>
    <col min="5890" max="5890" width="13.5703125" style="37" bestFit="1" customWidth="1"/>
    <col min="5891" max="5891" width="17.5703125" style="37" bestFit="1" customWidth="1"/>
    <col min="5892" max="5892" width="17.28515625" style="37" bestFit="1" customWidth="1"/>
    <col min="5893" max="5893" width="22.5703125" style="37" bestFit="1" customWidth="1"/>
    <col min="5894" max="5894" width="15.85546875" style="37" bestFit="1" customWidth="1"/>
    <col min="5895" max="5895" width="17.28515625" style="37" bestFit="1" customWidth="1"/>
    <col min="5896" max="5896" width="18.28515625" style="37" bestFit="1" customWidth="1"/>
    <col min="5897" max="5897" width="19.5703125" style="37" bestFit="1" customWidth="1"/>
    <col min="5898" max="6140" width="9.140625" style="37"/>
    <col min="6141" max="6141" width="15.140625" style="37" customWidth="1"/>
    <col min="6142" max="6142" width="15.140625" style="37" bestFit="1" customWidth="1"/>
    <col min="6143" max="6144" width="18.5703125" style="37" bestFit="1" customWidth="1"/>
    <col min="6145" max="6145" width="16.42578125" style="37" bestFit="1" customWidth="1"/>
    <col min="6146" max="6146" width="13.5703125" style="37" bestFit="1" customWidth="1"/>
    <col min="6147" max="6147" width="17.5703125" style="37" bestFit="1" customWidth="1"/>
    <col min="6148" max="6148" width="17.28515625" style="37" bestFit="1" customWidth="1"/>
    <col min="6149" max="6149" width="22.5703125" style="37" bestFit="1" customWidth="1"/>
    <col min="6150" max="6150" width="15.85546875" style="37" bestFit="1" customWidth="1"/>
    <col min="6151" max="6151" width="17.28515625" style="37" bestFit="1" customWidth="1"/>
    <col min="6152" max="6152" width="18.28515625" style="37" bestFit="1" customWidth="1"/>
    <col min="6153" max="6153" width="19.5703125" style="37" bestFit="1" customWidth="1"/>
    <col min="6154" max="6396" width="9.140625" style="37"/>
    <col min="6397" max="6397" width="15.140625" style="37" customWidth="1"/>
    <col min="6398" max="6398" width="15.140625" style="37" bestFit="1" customWidth="1"/>
    <col min="6399" max="6400" width="18.5703125" style="37" bestFit="1" customWidth="1"/>
    <col min="6401" max="6401" width="16.42578125" style="37" bestFit="1" customWidth="1"/>
    <col min="6402" max="6402" width="13.5703125" style="37" bestFit="1" customWidth="1"/>
    <col min="6403" max="6403" width="17.5703125" style="37" bestFit="1" customWidth="1"/>
    <col min="6404" max="6404" width="17.28515625" style="37" bestFit="1" customWidth="1"/>
    <col min="6405" max="6405" width="22.5703125" style="37" bestFit="1" customWidth="1"/>
    <col min="6406" max="6406" width="15.85546875" style="37" bestFit="1" customWidth="1"/>
    <col min="6407" max="6407" width="17.28515625" style="37" bestFit="1" customWidth="1"/>
    <col min="6408" max="6408" width="18.28515625" style="37" bestFit="1" customWidth="1"/>
    <col min="6409" max="6409" width="19.5703125" style="37" bestFit="1" customWidth="1"/>
    <col min="6410" max="6652" width="9.140625" style="37"/>
    <col min="6653" max="6653" width="15.140625" style="37" customWidth="1"/>
    <col min="6654" max="6654" width="15.140625" style="37" bestFit="1" customWidth="1"/>
    <col min="6655" max="6656" width="18.5703125" style="37" bestFit="1" customWidth="1"/>
    <col min="6657" max="6657" width="16.42578125" style="37" bestFit="1" customWidth="1"/>
    <col min="6658" max="6658" width="13.5703125" style="37" bestFit="1" customWidth="1"/>
    <col min="6659" max="6659" width="17.5703125" style="37" bestFit="1" customWidth="1"/>
    <col min="6660" max="6660" width="17.28515625" style="37" bestFit="1" customWidth="1"/>
    <col min="6661" max="6661" width="22.5703125" style="37" bestFit="1" customWidth="1"/>
    <col min="6662" max="6662" width="15.85546875" style="37" bestFit="1" customWidth="1"/>
    <col min="6663" max="6663" width="17.28515625" style="37" bestFit="1" customWidth="1"/>
    <col min="6664" max="6664" width="18.28515625" style="37" bestFit="1" customWidth="1"/>
    <col min="6665" max="6665" width="19.5703125" style="37" bestFit="1" customWidth="1"/>
    <col min="6666" max="6908" width="9.140625" style="37"/>
    <col min="6909" max="6909" width="15.140625" style="37" customWidth="1"/>
    <col min="6910" max="6910" width="15.140625" style="37" bestFit="1" customWidth="1"/>
    <col min="6911" max="6912" width="18.5703125" style="37" bestFit="1" customWidth="1"/>
    <col min="6913" max="6913" width="16.42578125" style="37" bestFit="1" customWidth="1"/>
    <col min="6914" max="6914" width="13.5703125" style="37" bestFit="1" customWidth="1"/>
    <col min="6915" max="6915" width="17.5703125" style="37" bestFit="1" customWidth="1"/>
    <col min="6916" max="6916" width="17.28515625" style="37" bestFit="1" customWidth="1"/>
    <col min="6917" max="6917" width="22.5703125" style="37" bestFit="1" customWidth="1"/>
    <col min="6918" max="6918" width="15.85546875" style="37" bestFit="1" customWidth="1"/>
    <col min="6919" max="6919" width="17.28515625" style="37" bestFit="1" customWidth="1"/>
    <col min="6920" max="6920" width="18.28515625" style="37" bestFit="1" customWidth="1"/>
    <col min="6921" max="6921" width="19.5703125" style="37" bestFit="1" customWidth="1"/>
    <col min="6922" max="7164" width="9.140625" style="37"/>
    <col min="7165" max="7165" width="15.140625" style="37" customWidth="1"/>
    <col min="7166" max="7166" width="15.140625" style="37" bestFit="1" customWidth="1"/>
    <col min="7167" max="7168" width="18.5703125" style="37" bestFit="1" customWidth="1"/>
    <col min="7169" max="7169" width="16.42578125" style="37" bestFit="1" customWidth="1"/>
    <col min="7170" max="7170" width="13.5703125" style="37" bestFit="1" customWidth="1"/>
    <col min="7171" max="7171" width="17.5703125" style="37" bestFit="1" customWidth="1"/>
    <col min="7172" max="7172" width="17.28515625" style="37" bestFit="1" customWidth="1"/>
    <col min="7173" max="7173" width="22.5703125" style="37" bestFit="1" customWidth="1"/>
    <col min="7174" max="7174" width="15.85546875" style="37" bestFit="1" customWidth="1"/>
    <col min="7175" max="7175" width="17.28515625" style="37" bestFit="1" customWidth="1"/>
    <col min="7176" max="7176" width="18.28515625" style="37" bestFit="1" customWidth="1"/>
    <col min="7177" max="7177" width="19.5703125" style="37" bestFit="1" customWidth="1"/>
    <col min="7178" max="7420" width="9.140625" style="37"/>
    <col min="7421" max="7421" width="15.140625" style="37" customWidth="1"/>
    <col min="7422" max="7422" width="15.140625" style="37" bestFit="1" customWidth="1"/>
    <col min="7423" max="7424" width="18.5703125" style="37" bestFit="1" customWidth="1"/>
    <col min="7425" max="7425" width="16.42578125" style="37" bestFit="1" customWidth="1"/>
    <col min="7426" max="7426" width="13.5703125" style="37" bestFit="1" customWidth="1"/>
    <col min="7427" max="7427" width="17.5703125" style="37" bestFit="1" customWidth="1"/>
    <col min="7428" max="7428" width="17.28515625" style="37" bestFit="1" customWidth="1"/>
    <col min="7429" max="7429" width="22.5703125" style="37" bestFit="1" customWidth="1"/>
    <col min="7430" max="7430" width="15.85546875" style="37" bestFit="1" customWidth="1"/>
    <col min="7431" max="7431" width="17.28515625" style="37" bestFit="1" customWidth="1"/>
    <col min="7432" max="7432" width="18.28515625" style="37" bestFit="1" customWidth="1"/>
    <col min="7433" max="7433" width="19.5703125" style="37" bestFit="1" customWidth="1"/>
    <col min="7434" max="7676" width="9.140625" style="37"/>
    <col min="7677" max="7677" width="15.140625" style="37" customWidth="1"/>
    <col min="7678" max="7678" width="15.140625" style="37" bestFit="1" customWidth="1"/>
    <col min="7679" max="7680" width="18.5703125" style="37" bestFit="1" customWidth="1"/>
    <col min="7681" max="7681" width="16.42578125" style="37" bestFit="1" customWidth="1"/>
    <col min="7682" max="7682" width="13.5703125" style="37" bestFit="1" customWidth="1"/>
    <col min="7683" max="7683" width="17.5703125" style="37" bestFit="1" customWidth="1"/>
    <col min="7684" max="7684" width="17.28515625" style="37" bestFit="1" customWidth="1"/>
    <col min="7685" max="7685" width="22.5703125" style="37" bestFit="1" customWidth="1"/>
    <col min="7686" max="7686" width="15.85546875" style="37" bestFit="1" customWidth="1"/>
    <col min="7687" max="7687" width="17.28515625" style="37" bestFit="1" customWidth="1"/>
    <col min="7688" max="7688" width="18.28515625" style="37" bestFit="1" customWidth="1"/>
    <col min="7689" max="7689" width="19.5703125" style="37" bestFit="1" customWidth="1"/>
    <col min="7690" max="7932" width="9.140625" style="37"/>
    <col min="7933" max="7933" width="15.140625" style="37" customWidth="1"/>
    <col min="7934" max="7934" width="15.140625" style="37" bestFit="1" customWidth="1"/>
    <col min="7935" max="7936" width="18.5703125" style="37" bestFit="1" customWidth="1"/>
    <col min="7937" max="7937" width="16.42578125" style="37" bestFit="1" customWidth="1"/>
    <col min="7938" max="7938" width="13.5703125" style="37" bestFit="1" customWidth="1"/>
    <col min="7939" max="7939" width="17.5703125" style="37" bestFit="1" customWidth="1"/>
    <col min="7940" max="7940" width="17.28515625" style="37" bestFit="1" customWidth="1"/>
    <col min="7941" max="7941" width="22.5703125" style="37" bestFit="1" customWidth="1"/>
    <col min="7942" max="7942" width="15.85546875" style="37" bestFit="1" customWidth="1"/>
    <col min="7943" max="7943" width="17.28515625" style="37" bestFit="1" customWidth="1"/>
    <col min="7944" max="7944" width="18.28515625" style="37" bestFit="1" customWidth="1"/>
    <col min="7945" max="7945" width="19.5703125" style="37" bestFit="1" customWidth="1"/>
    <col min="7946" max="8188" width="9.140625" style="37"/>
    <col min="8189" max="8189" width="15.140625" style="37" customWidth="1"/>
    <col min="8190" max="8190" width="15.140625" style="37" bestFit="1" customWidth="1"/>
    <col min="8191" max="8192" width="18.5703125" style="37" bestFit="1" customWidth="1"/>
    <col min="8193" max="8193" width="16.42578125" style="37" bestFit="1" customWidth="1"/>
    <col min="8194" max="8194" width="13.5703125" style="37" bestFit="1" customWidth="1"/>
    <col min="8195" max="8195" width="17.5703125" style="37" bestFit="1" customWidth="1"/>
    <col min="8196" max="8196" width="17.28515625" style="37" bestFit="1" customWidth="1"/>
    <col min="8197" max="8197" width="22.5703125" style="37" bestFit="1" customWidth="1"/>
    <col min="8198" max="8198" width="15.85546875" style="37" bestFit="1" customWidth="1"/>
    <col min="8199" max="8199" width="17.28515625" style="37" bestFit="1" customWidth="1"/>
    <col min="8200" max="8200" width="18.28515625" style="37" bestFit="1" customWidth="1"/>
    <col min="8201" max="8201" width="19.5703125" style="37" bestFit="1" customWidth="1"/>
    <col min="8202" max="8444" width="9.140625" style="37"/>
    <col min="8445" max="8445" width="15.140625" style="37" customWidth="1"/>
    <col min="8446" max="8446" width="15.140625" style="37" bestFit="1" customWidth="1"/>
    <col min="8447" max="8448" width="18.5703125" style="37" bestFit="1" customWidth="1"/>
    <col min="8449" max="8449" width="16.42578125" style="37" bestFit="1" customWidth="1"/>
    <col min="8450" max="8450" width="13.5703125" style="37" bestFit="1" customWidth="1"/>
    <col min="8451" max="8451" width="17.5703125" style="37" bestFit="1" customWidth="1"/>
    <col min="8452" max="8452" width="17.28515625" style="37" bestFit="1" customWidth="1"/>
    <col min="8453" max="8453" width="22.5703125" style="37" bestFit="1" customWidth="1"/>
    <col min="8454" max="8454" width="15.85546875" style="37" bestFit="1" customWidth="1"/>
    <col min="8455" max="8455" width="17.28515625" style="37" bestFit="1" customWidth="1"/>
    <col min="8456" max="8456" width="18.28515625" style="37" bestFit="1" customWidth="1"/>
    <col min="8457" max="8457" width="19.5703125" style="37" bestFit="1" customWidth="1"/>
    <col min="8458" max="8700" width="9.140625" style="37"/>
    <col min="8701" max="8701" width="15.140625" style="37" customWidth="1"/>
    <col min="8702" max="8702" width="15.140625" style="37" bestFit="1" customWidth="1"/>
    <col min="8703" max="8704" width="18.5703125" style="37" bestFit="1" customWidth="1"/>
    <col min="8705" max="8705" width="16.42578125" style="37" bestFit="1" customWidth="1"/>
    <col min="8706" max="8706" width="13.5703125" style="37" bestFit="1" customWidth="1"/>
    <col min="8707" max="8707" width="17.5703125" style="37" bestFit="1" customWidth="1"/>
    <col min="8708" max="8708" width="17.28515625" style="37" bestFit="1" customWidth="1"/>
    <col min="8709" max="8709" width="22.5703125" style="37" bestFit="1" customWidth="1"/>
    <col min="8710" max="8710" width="15.85546875" style="37" bestFit="1" customWidth="1"/>
    <col min="8711" max="8711" width="17.28515625" style="37" bestFit="1" customWidth="1"/>
    <col min="8712" max="8712" width="18.28515625" style="37" bestFit="1" customWidth="1"/>
    <col min="8713" max="8713" width="19.5703125" style="37" bestFit="1" customWidth="1"/>
    <col min="8714" max="8956" width="9.140625" style="37"/>
    <col min="8957" max="8957" width="15.140625" style="37" customWidth="1"/>
    <col min="8958" max="8958" width="15.140625" style="37" bestFit="1" customWidth="1"/>
    <col min="8959" max="8960" width="18.5703125" style="37" bestFit="1" customWidth="1"/>
    <col min="8961" max="8961" width="16.42578125" style="37" bestFit="1" customWidth="1"/>
    <col min="8962" max="8962" width="13.5703125" style="37" bestFit="1" customWidth="1"/>
    <col min="8963" max="8963" width="17.5703125" style="37" bestFit="1" customWidth="1"/>
    <col min="8964" max="8964" width="17.28515625" style="37" bestFit="1" customWidth="1"/>
    <col min="8965" max="8965" width="22.5703125" style="37" bestFit="1" customWidth="1"/>
    <col min="8966" max="8966" width="15.85546875" style="37" bestFit="1" customWidth="1"/>
    <col min="8967" max="8967" width="17.28515625" style="37" bestFit="1" customWidth="1"/>
    <col min="8968" max="8968" width="18.28515625" style="37" bestFit="1" customWidth="1"/>
    <col min="8969" max="8969" width="19.5703125" style="37" bestFit="1" customWidth="1"/>
    <col min="8970" max="9212" width="9.140625" style="37"/>
    <col min="9213" max="9213" width="15.140625" style="37" customWidth="1"/>
    <col min="9214" max="9214" width="15.140625" style="37" bestFit="1" customWidth="1"/>
    <col min="9215" max="9216" width="18.5703125" style="37" bestFit="1" customWidth="1"/>
    <col min="9217" max="9217" width="16.42578125" style="37" bestFit="1" customWidth="1"/>
    <col min="9218" max="9218" width="13.5703125" style="37" bestFit="1" customWidth="1"/>
    <col min="9219" max="9219" width="17.5703125" style="37" bestFit="1" customWidth="1"/>
    <col min="9220" max="9220" width="17.28515625" style="37" bestFit="1" customWidth="1"/>
    <col min="9221" max="9221" width="22.5703125" style="37" bestFit="1" customWidth="1"/>
    <col min="9222" max="9222" width="15.85546875" style="37" bestFit="1" customWidth="1"/>
    <col min="9223" max="9223" width="17.28515625" style="37" bestFit="1" customWidth="1"/>
    <col min="9224" max="9224" width="18.28515625" style="37" bestFit="1" customWidth="1"/>
    <col min="9225" max="9225" width="19.5703125" style="37" bestFit="1" customWidth="1"/>
    <col min="9226" max="9468" width="9.140625" style="37"/>
    <col min="9469" max="9469" width="15.140625" style="37" customWidth="1"/>
    <col min="9470" max="9470" width="15.140625" style="37" bestFit="1" customWidth="1"/>
    <col min="9471" max="9472" width="18.5703125" style="37" bestFit="1" customWidth="1"/>
    <col min="9473" max="9473" width="16.42578125" style="37" bestFit="1" customWidth="1"/>
    <col min="9474" max="9474" width="13.5703125" style="37" bestFit="1" customWidth="1"/>
    <col min="9475" max="9475" width="17.5703125" style="37" bestFit="1" customWidth="1"/>
    <col min="9476" max="9476" width="17.28515625" style="37" bestFit="1" customWidth="1"/>
    <col min="9477" max="9477" width="22.5703125" style="37" bestFit="1" customWidth="1"/>
    <col min="9478" max="9478" width="15.85546875" style="37" bestFit="1" customWidth="1"/>
    <col min="9479" max="9479" width="17.28515625" style="37" bestFit="1" customWidth="1"/>
    <col min="9480" max="9480" width="18.28515625" style="37" bestFit="1" customWidth="1"/>
    <col min="9481" max="9481" width="19.5703125" style="37" bestFit="1" customWidth="1"/>
    <col min="9482" max="9724" width="9.140625" style="37"/>
    <col min="9725" max="9725" width="15.140625" style="37" customWidth="1"/>
    <col min="9726" max="9726" width="15.140625" style="37" bestFit="1" customWidth="1"/>
    <col min="9727" max="9728" width="18.5703125" style="37" bestFit="1" customWidth="1"/>
    <col min="9729" max="9729" width="16.42578125" style="37" bestFit="1" customWidth="1"/>
    <col min="9730" max="9730" width="13.5703125" style="37" bestFit="1" customWidth="1"/>
    <col min="9731" max="9731" width="17.5703125" style="37" bestFit="1" customWidth="1"/>
    <col min="9732" max="9732" width="17.28515625" style="37" bestFit="1" customWidth="1"/>
    <col min="9733" max="9733" width="22.5703125" style="37" bestFit="1" customWidth="1"/>
    <col min="9734" max="9734" width="15.85546875" style="37" bestFit="1" customWidth="1"/>
    <col min="9735" max="9735" width="17.28515625" style="37" bestFit="1" customWidth="1"/>
    <col min="9736" max="9736" width="18.28515625" style="37" bestFit="1" customWidth="1"/>
    <col min="9737" max="9737" width="19.5703125" style="37" bestFit="1" customWidth="1"/>
    <col min="9738" max="9980" width="9.140625" style="37"/>
    <col min="9981" max="9981" width="15.140625" style="37" customWidth="1"/>
    <col min="9982" max="9982" width="15.140625" style="37" bestFit="1" customWidth="1"/>
    <col min="9983" max="9984" width="18.5703125" style="37" bestFit="1" customWidth="1"/>
    <col min="9985" max="9985" width="16.42578125" style="37" bestFit="1" customWidth="1"/>
    <col min="9986" max="9986" width="13.5703125" style="37" bestFit="1" customWidth="1"/>
    <col min="9987" max="9987" width="17.5703125" style="37" bestFit="1" customWidth="1"/>
    <col min="9988" max="9988" width="17.28515625" style="37" bestFit="1" customWidth="1"/>
    <col min="9989" max="9989" width="22.5703125" style="37" bestFit="1" customWidth="1"/>
    <col min="9990" max="9990" width="15.85546875" style="37" bestFit="1" customWidth="1"/>
    <col min="9991" max="9991" width="17.28515625" style="37" bestFit="1" customWidth="1"/>
    <col min="9992" max="9992" width="18.28515625" style="37" bestFit="1" customWidth="1"/>
    <col min="9993" max="9993" width="19.5703125" style="37" bestFit="1" customWidth="1"/>
    <col min="9994" max="10236" width="9.140625" style="37"/>
    <col min="10237" max="10237" width="15.140625" style="37" customWidth="1"/>
    <col min="10238" max="10238" width="15.140625" style="37" bestFit="1" customWidth="1"/>
    <col min="10239" max="10240" width="18.5703125" style="37" bestFit="1" customWidth="1"/>
    <col min="10241" max="10241" width="16.42578125" style="37" bestFit="1" customWidth="1"/>
    <col min="10242" max="10242" width="13.5703125" style="37" bestFit="1" customWidth="1"/>
    <col min="10243" max="10243" width="17.5703125" style="37" bestFit="1" customWidth="1"/>
    <col min="10244" max="10244" width="17.28515625" style="37" bestFit="1" customWidth="1"/>
    <col min="10245" max="10245" width="22.5703125" style="37" bestFit="1" customWidth="1"/>
    <col min="10246" max="10246" width="15.85546875" style="37" bestFit="1" customWidth="1"/>
    <col min="10247" max="10247" width="17.28515625" style="37" bestFit="1" customWidth="1"/>
    <col min="10248" max="10248" width="18.28515625" style="37" bestFit="1" customWidth="1"/>
    <col min="10249" max="10249" width="19.5703125" style="37" bestFit="1" customWidth="1"/>
    <col min="10250" max="10492" width="9.140625" style="37"/>
    <col min="10493" max="10493" width="15.140625" style="37" customWidth="1"/>
    <col min="10494" max="10494" width="15.140625" style="37" bestFit="1" customWidth="1"/>
    <col min="10495" max="10496" width="18.5703125" style="37" bestFit="1" customWidth="1"/>
    <col min="10497" max="10497" width="16.42578125" style="37" bestFit="1" customWidth="1"/>
    <col min="10498" max="10498" width="13.5703125" style="37" bestFit="1" customWidth="1"/>
    <col min="10499" max="10499" width="17.5703125" style="37" bestFit="1" customWidth="1"/>
    <col min="10500" max="10500" width="17.28515625" style="37" bestFit="1" customWidth="1"/>
    <col min="10501" max="10501" width="22.5703125" style="37" bestFit="1" customWidth="1"/>
    <col min="10502" max="10502" width="15.85546875" style="37" bestFit="1" customWidth="1"/>
    <col min="10503" max="10503" width="17.28515625" style="37" bestFit="1" customWidth="1"/>
    <col min="10504" max="10504" width="18.28515625" style="37" bestFit="1" customWidth="1"/>
    <col min="10505" max="10505" width="19.5703125" style="37" bestFit="1" customWidth="1"/>
    <col min="10506" max="10748" width="9.140625" style="37"/>
    <col min="10749" max="10749" width="15.140625" style="37" customWidth="1"/>
    <col min="10750" max="10750" width="15.140625" style="37" bestFit="1" customWidth="1"/>
    <col min="10751" max="10752" width="18.5703125" style="37" bestFit="1" customWidth="1"/>
    <col min="10753" max="10753" width="16.42578125" style="37" bestFit="1" customWidth="1"/>
    <col min="10754" max="10754" width="13.5703125" style="37" bestFit="1" customWidth="1"/>
    <col min="10755" max="10755" width="17.5703125" style="37" bestFit="1" customWidth="1"/>
    <col min="10756" max="10756" width="17.28515625" style="37" bestFit="1" customWidth="1"/>
    <col min="10757" max="10757" width="22.5703125" style="37" bestFit="1" customWidth="1"/>
    <col min="10758" max="10758" width="15.85546875" style="37" bestFit="1" customWidth="1"/>
    <col min="10759" max="10759" width="17.28515625" style="37" bestFit="1" customWidth="1"/>
    <col min="10760" max="10760" width="18.28515625" style="37" bestFit="1" customWidth="1"/>
    <col min="10761" max="10761" width="19.5703125" style="37" bestFit="1" customWidth="1"/>
    <col min="10762" max="11004" width="9.140625" style="37"/>
    <col min="11005" max="11005" width="15.140625" style="37" customWidth="1"/>
    <col min="11006" max="11006" width="15.140625" style="37" bestFit="1" customWidth="1"/>
    <col min="11007" max="11008" width="18.5703125" style="37" bestFit="1" customWidth="1"/>
    <col min="11009" max="11009" width="16.42578125" style="37" bestFit="1" customWidth="1"/>
    <col min="11010" max="11010" width="13.5703125" style="37" bestFit="1" customWidth="1"/>
    <col min="11011" max="11011" width="17.5703125" style="37" bestFit="1" customWidth="1"/>
    <col min="11012" max="11012" width="17.28515625" style="37" bestFit="1" customWidth="1"/>
    <col min="11013" max="11013" width="22.5703125" style="37" bestFit="1" customWidth="1"/>
    <col min="11014" max="11014" width="15.85546875" style="37" bestFit="1" customWidth="1"/>
    <col min="11015" max="11015" width="17.28515625" style="37" bestFit="1" customWidth="1"/>
    <col min="11016" max="11016" width="18.28515625" style="37" bestFit="1" customWidth="1"/>
    <col min="11017" max="11017" width="19.5703125" style="37" bestFit="1" customWidth="1"/>
    <col min="11018" max="11260" width="9.140625" style="37"/>
    <col min="11261" max="11261" width="15.140625" style="37" customWidth="1"/>
    <col min="11262" max="11262" width="15.140625" style="37" bestFit="1" customWidth="1"/>
    <col min="11263" max="11264" width="18.5703125" style="37" bestFit="1" customWidth="1"/>
    <col min="11265" max="11265" width="16.42578125" style="37" bestFit="1" customWidth="1"/>
    <col min="11266" max="11266" width="13.5703125" style="37" bestFit="1" customWidth="1"/>
    <col min="11267" max="11267" width="17.5703125" style="37" bestFit="1" customWidth="1"/>
    <col min="11268" max="11268" width="17.28515625" style="37" bestFit="1" customWidth="1"/>
    <col min="11269" max="11269" width="22.5703125" style="37" bestFit="1" customWidth="1"/>
    <col min="11270" max="11270" width="15.85546875" style="37" bestFit="1" customWidth="1"/>
    <col min="11271" max="11271" width="17.28515625" style="37" bestFit="1" customWidth="1"/>
    <col min="11272" max="11272" width="18.28515625" style="37" bestFit="1" customWidth="1"/>
    <col min="11273" max="11273" width="19.5703125" style="37" bestFit="1" customWidth="1"/>
    <col min="11274" max="11516" width="9.140625" style="37"/>
    <col min="11517" max="11517" width="15.140625" style="37" customWidth="1"/>
    <col min="11518" max="11518" width="15.140625" style="37" bestFit="1" customWidth="1"/>
    <col min="11519" max="11520" width="18.5703125" style="37" bestFit="1" customWidth="1"/>
    <col min="11521" max="11521" width="16.42578125" style="37" bestFit="1" customWidth="1"/>
    <col min="11522" max="11522" width="13.5703125" style="37" bestFit="1" customWidth="1"/>
    <col min="11523" max="11523" width="17.5703125" style="37" bestFit="1" customWidth="1"/>
    <col min="11524" max="11524" width="17.28515625" style="37" bestFit="1" customWidth="1"/>
    <col min="11525" max="11525" width="22.5703125" style="37" bestFit="1" customWidth="1"/>
    <col min="11526" max="11526" width="15.85546875" style="37" bestFit="1" customWidth="1"/>
    <col min="11527" max="11527" width="17.28515625" style="37" bestFit="1" customWidth="1"/>
    <col min="11528" max="11528" width="18.28515625" style="37" bestFit="1" customWidth="1"/>
    <col min="11529" max="11529" width="19.5703125" style="37" bestFit="1" customWidth="1"/>
    <col min="11530" max="11772" width="9.140625" style="37"/>
    <col min="11773" max="11773" width="15.140625" style="37" customWidth="1"/>
    <col min="11774" max="11774" width="15.140625" style="37" bestFit="1" customWidth="1"/>
    <col min="11775" max="11776" width="18.5703125" style="37" bestFit="1" customWidth="1"/>
    <col min="11777" max="11777" width="16.42578125" style="37" bestFit="1" customWidth="1"/>
    <col min="11778" max="11778" width="13.5703125" style="37" bestFit="1" customWidth="1"/>
    <col min="11779" max="11779" width="17.5703125" style="37" bestFit="1" customWidth="1"/>
    <col min="11780" max="11780" width="17.28515625" style="37" bestFit="1" customWidth="1"/>
    <col min="11781" max="11781" width="22.5703125" style="37" bestFit="1" customWidth="1"/>
    <col min="11782" max="11782" width="15.85546875" style="37" bestFit="1" customWidth="1"/>
    <col min="11783" max="11783" width="17.28515625" style="37" bestFit="1" customWidth="1"/>
    <col min="11784" max="11784" width="18.28515625" style="37" bestFit="1" customWidth="1"/>
    <col min="11785" max="11785" width="19.5703125" style="37" bestFit="1" customWidth="1"/>
    <col min="11786" max="12028" width="9.140625" style="37"/>
    <col min="12029" max="12029" width="15.140625" style="37" customWidth="1"/>
    <col min="12030" max="12030" width="15.140625" style="37" bestFit="1" customWidth="1"/>
    <col min="12031" max="12032" width="18.5703125" style="37" bestFit="1" customWidth="1"/>
    <col min="12033" max="12033" width="16.42578125" style="37" bestFit="1" customWidth="1"/>
    <col min="12034" max="12034" width="13.5703125" style="37" bestFit="1" customWidth="1"/>
    <col min="12035" max="12035" width="17.5703125" style="37" bestFit="1" customWidth="1"/>
    <col min="12036" max="12036" width="17.28515625" style="37" bestFit="1" customWidth="1"/>
    <col min="12037" max="12037" width="22.5703125" style="37" bestFit="1" customWidth="1"/>
    <col min="12038" max="12038" width="15.85546875" style="37" bestFit="1" customWidth="1"/>
    <col min="12039" max="12039" width="17.28515625" style="37" bestFit="1" customWidth="1"/>
    <col min="12040" max="12040" width="18.28515625" style="37" bestFit="1" customWidth="1"/>
    <col min="12041" max="12041" width="19.5703125" style="37" bestFit="1" customWidth="1"/>
    <col min="12042" max="12284" width="9.140625" style="37"/>
    <col min="12285" max="12285" width="15.140625" style="37" customWidth="1"/>
    <col min="12286" max="12286" width="15.140625" style="37" bestFit="1" customWidth="1"/>
    <col min="12287" max="12288" width="18.5703125" style="37" bestFit="1" customWidth="1"/>
    <col min="12289" max="12289" width="16.42578125" style="37" bestFit="1" customWidth="1"/>
    <col min="12290" max="12290" width="13.5703125" style="37" bestFit="1" customWidth="1"/>
    <col min="12291" max="12291" width="17.5703125" style="37" bestFit="1" customWidth="1"/>
    <col min="12292" max="12292" width="17.28515625" style="37" bestFit="1" customWidth="1"/>
    <col min="12293" max="12293" width="22.5703125" style="37" bestFit="1" customWidth="1"/>
    <col min="12294" max="12294" width="15.85546875" style="37" bestFit="1" customWidth="1"/>
    <col min="12295" max="12295" width="17.28515625" style="37" bestFit="1" customWidth="1"/>
    <col min="12296" max="12296" width="18.28515625" style="37" bestFit="1" customWidth="1"/>
    <col min="12297" max="12297" width="19.5703125" style="37" bestFit="1" customWidth="1"/>
    <col min="12298" max="12540" width="9.140625" style="37"/>
    <col min="12541" max="12541" width="15.140625" style="37" customWidth="1"/>
    <col min="12542" max="12542" width="15.140625" style="37" bestFit="1" customWidth="1"/>
    <col min="12543" max="12544" width="18.5703125" style="37" bestFit="1" customWidth="1"/>
    <col min="12545" max="12545" width="16.42578125" style="37" bestFit="1" customWidth="1"/>
    <col min="12546" max="12546" width="13.5703125" style="37" bestFit="1" customWidth="1"/>
    <col min="12547" max="12547" width="17.5703125" style="37" bestFit="1" customWidth="1"/>
    <col min="12548" max="12548" width="17.28515625" style="37" bestFit="1" customWidth="1"/>
    <col min="12549" max="12549" width="22.5703125" style="37" bestFit="1" customWidth="1"/>
    <col min="12550" max="12550" width="15.85546875" style="37" bestFit="1" customWidth="1"/>
    <col min="12551" max="12551" width="17.28515625" style="37" bestFit="1" customWidth="1"/>
    <col min="12552" max="12552" width="18.28515625" style="37" bestFit="1" customWidth="1"/>
    <col min="12553" max="12553" width="19.5703125" style="37" bestFit="1" customWidth="1"/>
    <col min="12554" max="12796" width="9.140625" style="37"/>
    <col min="12797" max="12797" width="15.140625" style="37" customWidth="1"/>
    <col min="12798" max="12798" width="15.140625" style="37" bestFit="1" customWidth="1"/>
    <col min="12799" max="12800" width="18.5703125" style="37" bestFit="1" customWidth="1"/>
    <col min="12801" max="12801" width="16.42578125" style="37" bestFit="1" customWidth="1"/>
    <col min="12802" max="12802" width="13.5703125" style="37" bestFit="1" customWidth="1"/>
    <col min="12803" max="12803" width="17.5703125" style="37" bestFit="1" customWidth="1"/>
    <col min="12804" max="12804" width="17.28515625" style="37" bestFit="1" customWidth="1"/>
    <col min="12805" max="12805" width="22.5703125" style="37" bestFit="1" customWidth="1"/>
    <col min="12806" max="12806" width="15.85546875" style="37" bestFit="1" customWidth="1"/>
    <col min="12807" max="12807" width="17.28515625" style="37" bestFit="1" customWidth="1"/>
    <col min="12808" max="12808" width="18.28515625" style="37" bestFit="1" customWidth="1"/>
    <col min="12809" max="12809" width="19.5703125" style="37" bestFit="1" customWidth="1"/>
    <col min="12810" max="13052" width="9.140625" style="37"/>
    <col min="13053" max="13053" width="15.140625" style="37" customWidth="1"/>
    <col min="13054" max="13054" width="15.140625" style="37" bestFit="1" customWidth="1"/>
    <col min="13055" max="13056" width="18.5703125" style="37" bestFit="1" customWidth="1"/>
    <col min="13057" max="13057" width="16.42578125" style="37" bestFit="1" customWidth="1"/>
    <col min="13058" max="13058" width="13.5703125" style="37" bestFit="1" customWidth="1"/>
    <col min="13059" max="13059" width="17.5703125" style="37" bestFit="1" customWidth="1"/>
    <col min="13060" max="13060" width="17.28515625" style="37" bestFit="1" customWidth="1"/>
    <col min="13061" max="13061" width="22.5703125" style="37" bestFit="1" customWidth="1"/>
    <col min="13062" max="13062" width="15.85546875" style="37" bestFit="1" customWidth="1"/>
    <col min="13063" max="13063" width="17.28515625" style="37" bestFit="1" customWidth="1"/>
    <col min="13064" max="13064" width="18.28515625" style="37" bestFit="1" customWidth="1"/>
    <col min="13065" max="13065" width="19.5703125" style="37" bestFit="1" customWidth="1"/>
    <col min="13066" max="13308" width="9.140625" style="37"/>
    <col min="13309" max="13309" width="15.140625" style="37" customWidth="1"/>
    <col min="13310" max="13310" width="15.140625" style="37" bestFit="1" customWidth="1"/>
    <col min="13311" max="13312" width="18.5703125" style="37" bestFit="1" customWidth="1"/>
    <col min="13313" max="13313" width="16.42578125" style="37" bestFit="1" customWidth="1"/>
    <col min="13314" max="13314" width="13.5703125" style="37" bestFit="1" customWidth="1"/>
    <col min="13315" max="13315" width="17.5703125" style="37" bestFit="1" customWidth="1"/>
    <col min="13316" max="13316" width="17.28515625" style="37" bestFit="1" customWidth="1"/>
    <col min="13317" max="13317" width="22.5703125" style="37" bestFit="1" customWidth="1"/>
    <col min="13318" max="13318" width="15.85546875" style="37" bestFit="1" customWidth="1"/>
    <col min="13319" max="13319" width="17.28515625" style="37" bestFit="1" customWidth="1"/>
    <col min="13320" max="13320" width="18.28515625" style="37" bestFit="1" customWidth="1"/>
    <col min="13321" max="13321" width="19.5703125" style="37" bestFit="1" customWidth="1"/>
    <col min="13322" max="13564" width="9.140625" style="37"/>
    <col min="13565" max="13565" width="15.140625" style="37" customWidth="1"/>
    <col min="13566" max="13566" width="15.140625" style="37" bestFit="1" customWidth="1"/>
    <col min="13567" max="13568" width="18.5703125" style="37" bestFit="1" customWidth="1"/>
    <col min="13569" max="13569" width="16.42578125" style="37" bestFit="1" customWidth="1"/>
    <col min="13570" max="13570" width="13.5703125" style="37" bestFit="1" customWidth="1"/>
    <col min="13571" max="13571" width="17.5703125" style="37" bestFit="1" customWidth="1"/>
    <col min="13572" max="13572" width="17.28515625" style="37" bestFit="1" customWidth="1"/>
    <col min="13573" max="13573" width="22.5703125" style="37" bestFit="1" customWidth="1"/>
    <col min="13574" max="13574" width="15.85546875" style="37" bestFit="1" customWidth="1"/>
    <col min="13575" max="13575" width="17.28515625" style="37" bestFit="1" customWidth="1"/>
    <col min="13576" max="13576" width="18.28515625" style="37" bestFit="1" customWidth="1"/>
    <col min="13577" max="13577" width="19.5703125" style="37" bestFit="1" customWidth="1"/>
    <col min="13578" max="13820" width="9.140625" style="37"/>
    <col min="13821" max="13821" width="15.140625" style="37" customWidth="1"/>
    <col min="13822" max="13822" width="15.140625" style="37" bestFit="1" customWidth="1"/>
    <col min="13823" max="13824" width="18.5703125" style="37" bestFit="1" customWidth="1"/>
    <col min="13825" max="13825" width="16.42578125" style="37" bestFit="1" customWidth="1"/>
    <col min="13826" max="13826" width="13.5703125" style="37" bestFit="1" customWidth="1"/>
    <col min="13827" max="13827" width="17.5703125" style="37" bestFit="1" customWidth="1"/>
    <col min="13828" max="13828" width="17.28515625" style="37" bestFit="1" customWidth="1"/>
    <col min="13829" max="13829" width="22.5703125" style="37" bestFit="1" customWidth="1"/>
    <col min="13830" max="13830" width="15.85546875" style="37" bestFit="1" customWidth="1"/>
    <col min="13831" max="13831" width="17.28515625" style="37" bestFit="1" customWidth="1"/>
    <col min="13832" max="13832" width="18.28515625" style="37" bestFit="1" customWidth="1"/>
    <col min="13833" max="13833" width="19.5703125" style="37" bestFit="1" customWidth="1"/>
    <col min="13834" max="14076" width="9.140625" style="37"/>
    <col min="14077" max="14077" width="15.140625" style="37" customWidth="1"/>
    <col min="14078" max="14078" width="15.140625" style="37" bestFit="1" customWidth="1"/>
    <col min="14079" max="14080" width="18.5703125" style="37" bestFit="1" customWidth="1"/>
    <col min="14081" max="14081" width="16.42578125" style="37" bestFit="1" customWidth="1"/>
    <col min="14082" max="14082" width="13.5703125" style="37" bestFit="1" customWidth="1"/>
    <col min="14083" max="14083" width="17.5703125" style="37" bestFit="1" customWidth="1"/>
    <col min="14084" max="14084" width="17.28515625" style="37" bestFit="1" customWidth="1"/>
    <col min="14085" max="14085" width="22.5703125" style="37" bestFit="1" customWidth="1"/>
    <col min="14086" max="14086" width="15.85546875" style="37" bestFit="1" customWidth="1"/>
    <col min="14087" max="14087" width="17.28515625" style="37" bestFit="1" customWidth="1"/>
    <col min="14088" max="14088" width="18.28515625" style="37" bestFit="1" customWidth="1"/>
    <col min="14089" max="14089" width="19.5703125" style="37" bestFit="1" customWidth="1"/>
    <col min="14090" max="14332" width="9.140625" style="37"/>
    <col min="14333" max="14333" width="15.140625" style="37" customWidth="1"/>
    <col min="14334" max="14334" width="15.140625" style="37" bestFit="1" customWidth="1"/>
    <col min="14335" max="14336" width="18.5703125" style="37" bestFit="1" customWidth="1"/>
    <col min="14337" max="14337" width="16.42578125" style="37" bestFit="1" customWidth="1"/>
    <col min="14338" max="14338" width="13.5703125" style="37" bestFit="1" customWidth="1"/>
    <col min="14339" max="14339" width="17.5703125" style="37" bestFit="1" customWidth="1"/>
    <col min="14340" max="14340" width="17.28515625" style="37" bestFit="1" customWidth="1"/>
    <col min="14341" max="14341" width="22.5703125" style="37" bestFit="1" customWidth="1"/>
    <col min="14342" max="14342" width="15.85546875" style="37" bestFit="1" customWidth="1"/>
    <col min="14343" max="14343" width="17.28515625" style="37" bestFit="1" customWidth="1"/>
    <col min="14344" max="14344" width="18.28515625" style="37" bestFit="1" customWidth="1"/>
    <col min="14345" max="14345" width="19.5703125" style="37" bestFit="1" customWidth="1"/>
    <col min="14346" max="14588" width="9.140625" style="37"/>
    <col min="14589" max="14589" width="15.140625" style="37" customWidth="1"/>
    <col min="14590" max="14590" width="15.140625" style="37" bestFit="1" customWidth="1"/>
    <col min="14591" max="14592" width="18.5703125" style="37" bestFit="1" customWidth="1"/>
    <col min="14593" max="14593" width="16.42578125" style="37" bestFit="1" customWidth="1"/>
    <col min="14594" max="14594" width="13.5703125" style="37" bestFit="1" customWidth="1"/>
    <col min="14595" max="14595" width="17.5703125" style="37" bestFit="1" customWidth="1"/>
    <col min="14596" max="14596" width="17.28515625" style="37" bestFit="1" customWidth="1"/>
    <col min="14597" max="14597" width="22.5703125" style="37" bestFit="1" customWidth="1"/>
    <col min="14598" max="14598" width="15.85546875" style="37" bestFit="1" customWidth="1"/>
    <col min="14599" max="14599" width="17.28515625" style="37" bestFit="1" customWidth="1"/>
    <col min="14600" max="14600" width="18.28515625" style="37" bestFit="1" customWidth="1"/>
    <col min="14601" max="14601" width="19.5703125" style="37" bestFit="1" customWidth="1"/>
    <col min="14602" max="14844" width="9.140625" style="37"/>
    <col min="14845" max="14845" width="15.140625" style="37" customWidth="1"/>
    <col min="14846" max="14846" width="15.140625" style="37" bestFit="1" customWidth="1"/>
    <col min="14847" max="14848" width="18.5703125" style="37" bestFit="1" customWidth="1"/>
    <col min="14849" max="14849" width="16.42578125" style="37" bestFit="1" customWidth="1"/>
    <col min="14850" max="14850" width="13.5703125" style="37" bestFit="1" customWidth="1"/>
    <col min="14851" max="14851" width="17.5703125" style="37" bestFit="1" customWidth="1"/>
    <col min="14852" max="14852" width="17.28515625" style="37" bestFit="1" customWidth="1"/>
    <col min="14853" max="14853" width="22.5703125" style="37" bestFit="1" customWidth="1"/>
    <col min="14854" max="14854" width="15.85546875" style="37" bestFit="1" customWidth="1"/>
    <col min="14855" max="14855" width="17.28515625" style="37" bestFit="1" customWidth="1"/>
    <col min="14856" max="14856" width="18.28515625" style="37" bestFit="1" customWidth="1"/>
    <col min="14857" max="14857" width="19.5703125" style="37" bestFit="1" customWidth="1"/>
    <col min="14858" max="15100" width="9.140625" style="37"/>
    <col min="15101" max="15101" width="15.140625" style="37" customWidth="1"/>
    <col min="15102" max="15102" width="15.140625" style="37" bestFit="1" customWidth="1"/>
    <col min="15103" max="15104" width="18.5703125" style="37" bestFit="1" customWidth="1"/>
    <col min="15105" max="15105" width="16.42578125" style="37" bestFit="1" customWidth="1"/>
    <col min="15106" max="15106" width="13.5703125" style="37" bestFit="1" customWidth="1"/>
    <col min="15107" max="15107" width="17.5703125" style="37" bestFit="1" customWidth="1"/>
    <col min="15108" max="15108" width="17.28515625" style="37" bestFit="1" customWidth="1"/>
    <col min="15109" max="15109" width="22.5703125" style="37" bestFit="1" customWidth="1"/>
    <col min="15110" max="15110" width="15.85546875" style="37" bestFit="1" customWidth="1"/>
    <col min="15111" max="15111" width="17.28515625" style="37" bestFit="1" customWidth="1"/>
    <col min="15112" max="15112" width="18.28515625" style="37" bestFit="1" customWidth="1"/>
    <col min="15113" max="15113" width="19.5703125" style="37" bestFit="1" customWidth="1"/>
    <col min="15114" max="15356" width="9.140625" style="37"/>
    <col min="15357" max="15357" width="15.140625" style="37" customWidth="1"/>
    <col min="15358" max="15358" width="15.140625" style="37" bestFit="1" customWidth="1"/>
    <col min="15359" max="15360" width="18.5703125" style="37" bestFit="1" customWidth="1"/>
    <col min="15361" max="15361" width="16.42578125" style="37" bestFit="1" customWidth="1"/>
    <col min="15362" max="15362" width="13.5703125" style="37" bestFit="1" customWidth="1"/>
    <col min="15363" max="15363" width="17.5703125" style="37" bestFit="1" customWidth="1"/>
    <col min="15364" max="15364" width="17.28515625" style="37" bestFit="1" customWidth="1"/>
    <col min="15365" max="15365" width="22.5703125" style="37" bestFit="1" customWidth="1"/>
    <col min="15366" max="15366" width="15.85546875" style="37" bestFit="1" customWidth="1"/>
    <col min="15367" max="15367" width="17.28515625" style="37" bestFit="1" customWidth="1"/>
    <col min="15368" max="15368" width="18.28515625" style="37" bestFit="1" customWidth="1"/>
    <col min="15369" max="15369" width="19.5703125" style="37" bestFit="1" customWidth="1"/>
    <col min="15370" max="15612" width="9.140625" style="37"/>
    <col min="15613" max="15613" width="15.140625" style="37" customWidth="1"/>
    <col min="15614" max="15614" width="15.140625" style="37" bestFit="1" customWidth="1"/>
    <col min="15615" max="15616" width="18.5703125" style="37" bestFit="1" customWidth="1"/>
    <col min="15617" max="15617" width="16.42578125" style="37" bestFit="1" customWidth="1"/>
    <col min="15618" max="15618" width="13.5703125" style="37" bestFit="1" customWidth="1"/>
    <col min="15619" max="15619" width="17.5703125" style="37" bestFit="1" customWidth="1"/>
    <col min="15620" max="15620" width="17.28515625" style="37" bestFit="1" customWidth="1"/>
    <col min="15621" max="15621" width="22.5703125" style="37" bestFit="1" customWidth="1"/>
    <col min="15622" max="15622" width="15.85546875" style="37" bestFit="1" customWidth="1"/>
    <col min="15623" max="15623" width="17.28515625" style="37" bestFit="1" customWidth="1"/>
    <col min="15624" max="15624" width="18.28515625" style="37" bestFit="1" customWidth="1"/>
    <col min="15625" max="15625" width="19.5703125" style="37" bestFit="1" customWidth="1"/>
    <col min="15626" max="15868" width="9.140625" style="37"/>
    <col min="15869" max="15869" width="15.140625" style="37" customWidth="1"/>
    <col min="15870" max="15870" width="15.140625" style="37" bestFit="1" customWidth="1"/>
    <col min="15871" max="15872" width="18.5703125" style="37" bestFit="1" customWidth="1"/>
    <col min="15873" max="15873" width="16.42578125" style="37" bestFit="1" customWidth="1"/>
    <col min="15874" max="15874" width="13.5703125" style="37" bestFit="1" customWidth="1"/>
    <col min="15875" max="15875" width="17.5703125" style="37" bestFit="1" customWidth="1"/>
    <col min="15876" max="15876" width="17.28515625" style="37" bestFit="1" customWidth="1"/>
    <col min="15877" max="15877" width="22.5703125" style="37" bestFit="1" customWidth="1"/>
    <col min="15878" max="15878" width="15.85546875" style="37" bestFit="1" customWidth="1"/>
    <col min="15879" max="15879" width="17.28515625" style="37" bestFit="1" customWidth="1"/>
    <col min="15880" max="15880" width="18.28515625" style="37" bestFit="1" customWidth="1"/>
    <col min="15881" max="15881" width="19.5703125" style="37" bestFit="1" customWidth="1"/>
    <col min="15882" max="16124" width="9.140625" style="37"/>
    <col min="16125" max="16125" width="15.140625" style="37" customWidth="1"/>
    <col min="16126" max="16126" width="15.140625" style="37" bestFit="1" customWidth="1"/>
    <col min="16127" max="16128" width="18.5703125" style="37" bestFit="1" customWidth="1"/>
    <col min="16129" max="16129" width="16.42578125" style="37" bestFit="1" customWidth="1"/>
    <col min="16130" max="16130" width="13.5703125" style="37" bestFit="1" customWidth="1"/>
    <col min="16131" max="16131" width="17.5703125" style="37" bestFit="1" customWidth="1"/>
    <col min="16132" max="16132" width="17.28515625" style="37" bestFit="1" customWidth="1"/>
    <col min="16133" max="16133" width="22.5703125" style="37" bestFit="1" customWidth="1"/>
    <col min="16134" max="16134" width="15.85546875" style="37" bestFit="1" customWidth="1"/>
    <col min="16135" max="16135" width="17.28515625" style="37" bestFit="1" customWidth="1"/>
    <col min="16136" max="16136" width="18.28515625" style="37" bestFit="1" customWidth="1"/>
    <col min="16137" max="16137" width="19.5703125" style="37" bestFit="1" customWidth="1"/>
    <col min="16383" max="16384" width="8.7109375" style="34" customWidth="1"/>
  </cols>
  <sheetData>
    <row r="1" spans="1:22 16138:16382" s="37" customFormat="1" x14ac:dyDescent="0.25">
      <c r="A1" s="34" t="s">
        <v>232</v>
      </c>
      <c r="B1" s="34" t="s">
        <v>431</v>
      </c>
      <c r="C1" s="35" t="s">
        <v>432</v>
      </c>
      <c r="D1" s="35" t="s">
        <v>433</v>
      </c>
      <c r="E1" s="35" t="s">
        <v>434</v>
      </c>
      <c r="F1" s="36" t="s">
        <v>435</v>
      </c>
      <c r="G1" s="36" t="s">
        <v>436</v>
      </c>
      <c r="H1" s="36" t="s">
        <v>437</v>
      </c>
      <c r="I1" s="36" t="s">
        <v>438</v>
      </c>
      <c r="J1" s="36" t="s">
        <v>501</v>
      </c>
      <c r="K1" s="36" t="s">
        <v>502</v>
      </c>
      <c r="L1" s="36" t="s">
        <v>439</v>
      </c>
      <c r="M1" s="36" t="s">
        <v>440</v>
      </c>
      <c r="N1" s="34" t="s">
        <v>441</v>
      </c>
      <c r="O1" s="34" t="s">
        <v>442</v>
      </c>
      <c r="P1" s="34" t="s">
        <v>443</v>
      </c>
      <c r="Q1" s="34"/>
      <c r="R1" s="47"/>
      <c r="S1" s="47"/>
      <c r="T1" s="34"/>
      <c r="U1" s="34" t="s">
        <v>503</v>
      </c>
      <c r="V1" s="34" t="s">
        <v>504</v>
      </c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</row>
    <row r="2" spans="1:22 16138:16382" s="37" customFormat="1" x14ac:dyDescent="0.25">
      <c r="A2" s="38" t="s">
        <v>234</v>
      </c>
      <c r="B2" s="38" t="s">
        <v>428</v>
      </c>
      <c r="C2" s="39">
        <v>1854</v>
      </c>
      <c r="D2" s="39">
        <v>142</v>
      </c>
      <c r="E2" s="39">
        <v>0</v>
      </c>
      <c r="F2" s="40">
        <v>0</v>
      </c>
      <c r="G2" s="40">
        <v>0</v>
      </c>
      <c r="H2" s="39">
        <v>0</v>
      </c>
      <c r="I2" s="41">
        <v>0</v>
      </c>
      <c r="J2" s="41">
        <v>294</v>
      </c>
      <c r="K2" s="41">
        <v>477</v>
      </c>
      <c r="L2" s="41">
        <v>1151</v>
      </c>
      <c r="M2" s="41">
        <v>1854</v>
      </c>
      <c r="N2" s="39">
        <f>ROUND(C2+G2+H2+(E2*2*0.08),1)</f>
        <v>1854</v>
      </c>
      <c r="O2" s="42">
        <v>67</v>
      </c>
      <c r="P2" s="41">
        <f>K2</f>
        <v>477</v>
      </c>
      <c r="Q2" s="43"/>
      <c r="R2" s="42"/>
      <c r="S2" s="42"/>
      <c r="T2" s="34"/>
      <c r="U2" s="34" t="s">
        <v>428</v>
      </c>
      <c r="V2" s="34" t="s">
        <v>516</v>
      </c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</row>
    <row r="3" spans="1:22 16138:16382" s="37" customFormat="1" x14ac:dyDescent="0.25">
      <c r="A3" s="38" t="s">
        <v>234</v>
      </c>
      <c r="B3" s="38" t="s">
        <v>429</v>
      </c>
      <c r="C3" s="39">
        <v>851</v>
      </c>
      <c r="D3" s="39">
        <v>146</v>
      </c>
      <c r="E3" s="39">
        <v>0</v>
      </c>
      <c r="F3" s="40">
        <v>0</v>
      </c>
      <c r="G3" s="40">
        <v>0</v>
      </c>
      <c r="H3" s="39">
        <v>0</v>
      </c>
      <c r="I3" s="39">
        <v>0</v>
      </c>
      <c r="J3" s="41">
        <v>298</v>
      </c>
      <c r="K3" s="41">
        <v>356</v>
      </c>
      <c r="L3" s="41">
        <v>705</v>
      </c>
      <c r="M3" s="41">
        <v>851</v>
      </c>
      <c r="N3" s="39">
        <f t="shared" ref="N3:N45" si="0">ROUND(C3+G3+H3+(E3*2*0.08),1)</f>
        <v>851</v>
      </c>
      <c r="O3" s="42">
        <v>147</v>
      </c>
      <c r="P3" s="41">
        <f t="shared" ref="P3:P45" si="1">K3</f>
        <v>356</v>
      </c>
      <c r="Q3" s="43"/>
      <c r="R3" s="42"/>
      <c r="S3" s="42"/>
      <c r="T3" s="34"/>
      <c r="U3" s="34" t="s">
        <v>429</v>
      </c>
      <c r="V3" s="34" t="s">
        <v>517</v>
      </c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</row>
    <row r="4" spans="1:22 16138:16382" s="37" customFormat="1" x14ac:dyDescent="0.25">
      <c r="A4" s="38" t="s">
        <v>234</v>
      </c>
      <c r="B4" s="38" t="s">
        <v>444</v>
      </c>
      <c r="C4" s="39">
        <v>2112</v>
      </c>
      <c r="D4" s="39">
        <v>131</v>
      </c>
      <c r="E4" s="39">
        <v>0</v>
      </c>
      <c r="F4" s="40">
        <v>0</v>
      </c>
      <c r="G4" s="40">
        <v>0</v>
      </c>
      <c r="H4" s="39">
        <v>0</v>
      </c>
      <c r="I4" s="41">
        <v>6</v>
      </c>
      <c r="J4" s="41">
        <v>957</v>
      </c>
      <c r="K4" s="41">
        <v>1424</v>
      </c>
      <c r="L4" s="41">
        <v>1344</v>
      </c>
      <c r="M4" s="41">
        <v>2112</v>
      </c>
      <c r="N4" s="39">
        <f t="shared" si="0"/>
        <v>2112</v>
      </c>
      <c r="O4" s="42">
        <v>508</v>
      </c>
      <c r="P4" s="41">
        <f t="shared" si="1"/>
        <v>1424</v>
      </c>
      <c r="Q4" s="43"/>
      <c r="R4" s="42"/>
      <c r="S4" s="42"/>
      <c r="T4" s="34"/>
      <c r="U4" s="38" t="s">
        <v>444</v>
      </c>
      <c r="V4" s="34" t="s">
        <v>518</v>
      </c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</row>
    <row r="5" spans="1:22 16138:16382" s="37" customFormat="1" x14ac:dyDescent="0.25">
      <c r="A5" s="38" t="s">
        <v>235</v>
      </c>
      <c r="B5" s="38" t="s">
        <v>445</v>
      </c>
      <c r="C5" s="39">
        <v>297</v>
      </c>
      <c r="D5" s="39">
        <v>37</v>
      </c>
      <c r="E5" s="39">
        <v>0</v>
      </c>
      <c r="F5" s="40">
        <v>0</v>
      </c>
      <c r="G5" s="40">
        <v>12.5</v>
      </c>
      <c r="H5" s="39">
        <v>0</v>
      </c>
      <c r="I5" s="41">
        <v>0</v>
      </c>
      <c r="J5" s="41">
        <v>217</v>
      </c>
      <c r="K5" s="41">
        <v>244</v>
      </c>
      <c r="L5" s="41">
        <v>260</v>
      </c>
      <c r="M5" s="41">
        <v>297</v>
      </c>
      <c r="N5" s="39">
        <f t="shared" si="0"/>
        <v>309.5</v>
      </c>
      <c r="O5" s="42">
        <v>141</v>
      </c>
      <c r="P5" s="41">
        <f t="shared" si="1"/>
        <v>244</v>
      </c>
      <c r="Q5" s="43"/>
      <c r="R5" s="42"/>
      <c r="S5" s="42"/>
      <c r="T5" s="34"/>
      <c r="U5" s="34" t="s">
        <v>477</v>
      </c>
      <c r="V5" s="34" t="s">
        <v>519</v>
      </c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</row>
    <row r="6" spans="1:22 16138:16382" s="37" customFormat="1" x14ac:dyDescent="0.25">
      <c r="A6" s="38" t="s">
        <v>235</v>
      </c>
      <c r="B6" s="38" t="s">
        <v>446</v>
      </c>
      <c r="C6" s="39">
        <v>112</v>
      </c>
      <c r="D6" s="39">
        <v>0</v>
      </c>
      <c r="E6" s="39">
        <v>0</v>
      </c>
      <c r="F6" s="40">
        <v>0</v>
      </c>
      <c r="G6" s="40">
        <v>0</v>
      </c>
      <c r="H6" s="39">
        <v>0</v>
      </c>
      <c r="I6" s="41">
        <v>0</v>
      </c>
      <c r="J6" s="41">
        <v>0</v>
      </c>
      <c r="K6" s="41">
        <v>96</v>
      </c>
      <c r="L6" s="41">
        <v>0</v>
      </c>
      <c r="M6" s="41">
        <v>112</v>
      </c>
      <c r="N6" s="39">
        <f t="shared" si="0"/>
        <v>112</v>
      </c>
      <c r="O6" s="42">
        <v>1</v>
      </c>
      <c r="P6" s="41">
        <f t="shared" si="1"/>
        <v>96</v>
      </c>
      <c r="Q6" s="43"/>
      <c r="R6" s="42"/>
      <c r="S6" s="42"/>
      <c r="T6" s="34"/>
      <c r="U6" s="34" t="s">
        <v>448</v>
      </c>
      <c r="V6" s="34" t="s">
        <v>520</v>
      </c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</row>
    <row r="7" spans="1:22 16138:16382" s="37" customFormat="1" x14ac:dyDescent="0.25">
      <c r="A7" s="38" t="s">
        <v>235</v>
      </c>
      <c r="B7" s="38" t="s">
        <v>447</v>
      </c>
      <c r="C7" s="39">
        <v>176</v>
      </c>
      <c r="D7" s="39">
        <v>0</v>
      </c>
      <c r="E7" s="39">
        <v>0</v>
      </c>
      <c r="F7" s="40">
        <v>0</v>
      </c>
      <c r="G7" s="40">
        <v>0</v>
      </c>
      <c r="H7" s="39">
        <v>0</v>
      </c>
      <c r="I7" s="41">
        <v>0</v>
      </c>
      <c r="J7" s="41">
        <v>136</v>
      </c>
      <c r="K7" s="41">
        <v>136</v>
      </c>
      <c r="L7" s="41">
        <v>176</v>
      </c>
      <c r="M7" s="41">
        <v>176</v>
      </c>
      <c r="N7" s="39">
        <f t="shared" si="0"/>
        <v>176</v>
      </c>
      <c r="O7" s="42">
        <v>2</v>
      </c>
      <c r="P7" s="41">
        <f t="shared" si="1"/>
        <v>136</v>
      </c>
      <c r="Q7" s="43"/>
      <c r="R7" s="42"/>
      <c r="S7" s="42"/>
      <c r="T7" s="34"/>
      <c r="U7" s="34" t="s">
        <v>343</v>
      </c>
      <c r="V7" s="34" t="s">
        <v>521</v>
      </c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</row>
    <row r="8" spans="1:22 16138:16382" s="37" customFormat="1" x14ac:dyDescent="0.25">
      <c r="A8" s="38" t="s">
        <v>236</v>
      </c>
      <c r="B8" s="38" t="s">
        <v>448</v>
      </c>
      <c r="C8" s="39">
        <v>660</v>
      </c>
      <c r="D8" s="39">
        <v>81</v>
      </c>
      <c r="E8" s="39">
        <v>0</v>
      </c>
      <c r="F8" s="40">
        <v>0</v>
      </c>
      <c r="G8" s="40">
        <v>35</v>
      </c>
      <c r="H8" s="39">
        <v>1.5</v>
      </c>
      <c r="I8" s="41">
        <v>0</v>
      </c>
      <c r="J8" s="41">
        <v>326</v>
      </c>
      <c r="K8" s="41">
        <v>363</v>
      </c>
      <c r="L8" s="41">
        <v>579</v>
      </c>
      <c r="M8" s="41">
        <v>660</v>
      </c>
      <c r="N8" s="39">
        <f t="shared" si="0"/>
        <v>696.5</v>
      </c>
      <c r="O8" s="42">
        <v>103</v>
      </c>
      <c r="P8" s="41">
        <f t="shared" si="1"/>
        <v>363</v>
      </c>
      <c r="Q8" s="43"/>
      <c r="R8" s="42"/>
      <c r="S8" s="42"/>
      <c r="T8" s="34"/>
      <c r="U8" s="34" t="s">
        <v>449</v>
      </c>
      <c r="V8" s="34" t="s">
        <v>522</v>
      </c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</row>
    <row r="9" spans="1:22 16138:16382" s="37" customFormat="1" x14ac:dyDescent="0.25">
      <c r="A9" s="38" t="s">
        <v>239</v>
      </c>
      <c r="B9" s="38" t="s">
        <v>343</v>
      </c>
      <c r="C9" s="39">
        <v>462</v>
      </c>
      <c r="D9" s="39">
        <v>51</v>
      </c>
      <c r="E9" s="39">
        <v>0</v>
      </c>
      <c r="F9" s="40">
        <v>0</v>
      </c>
      <c r="G9" s="40">
        <v>0</v>
      </c>
      <c r="H9" s="39">
        <v>0</v>
      </c>
      <c r="I9" s="41">
        <v>0</v>
      </c>
      <c r="J9" s="41">
        <v>208</v>
      </c>
      <c r="K9" s="41">
        <v>231</v>
      </c>
      <c r="L9" s="41">
        <v>411</v>
      </c>
      <c r="M9" s="41">
        <v>462</v>
      </c>
      <c r="N9" s="39">
        <f t="shared" si="0"/>
        <v>462</v>
      </c>
      <c r="O9" s="42">
        <v>87</v>
      </c>
      <c r="P9" s="41">
        <f t="shared" si="1"/>
        <v>231</v>
      </c>
      <c r="Q9" s="43"/>
      <c r="R9" s="42"/>
      <c r="S9" s="42"/>
      <c r="T9" s="34"/>
      <c r="U9" s="34" t="s">
        <v>450</v>
      </c>
      <c r="V9" s="34" t="s">
        <v>523</v>
      </c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</row>
    <row r="10" spans="1:22 16138:16382" s="37" customFormat="1" x14ac:dyDescent="0.25">
      <c r="A10" s="38" t="s">
        <v>239</v>
      </c>
      <c r="B10" s="38" t="s">
        <v>449</v>
      </c>
      <c r="C10" s="39">
        <v>249</v>
      </c>
      <c r="D10" s="39">
        <v>0</v>
      </c>
      <c r="E10" s="39">
        <v>0</v>
      </c>
      <c r="F10" s="40">
        <v>0</v>
      </c>
      <c r="G10" s="40">
        <v>0</v>
      </c>
      <c r="H10" s="39">
        <v>0</v>
      </c>
      <c r="I10" s="41">
        <v>0</v>
      </c>
      <c r="J10" s="41">
        <v>38</v>
      </c>
      <c r="K10" s="41">
        <v>141</v>
      </c>
      <c r="L10" s="41">
        <v>61</v>
      </c>
      <c r="M10" s="41">
        <v>249</v>
      </c>
      <c r="N10" s="39">
        <f t="shared" si="0"/>
        <v>249</v>
      </c>
      <c r="O10" s="42">
        <v>12</v>
      </c>
      <c r="P10" s="41">
        <f t="shared" si="1"/>
        <v>141</v>
      </c>
      <c r="Q10" s="43"/>
      <c r="R10" s="42"/>
      <c r="S10" s="42"/>
      <c r="T10" s="34"/>
      <c r="U10" s="34" t="s">
        <v>451</v>
      </c>
      <c r="V10" s="34" t="s">
        <v>524</v>
      </c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</row>
    <row r="11" spans="1:22 16138:16382" s="37" customFormat="1" x14ac:dyDescent="0.25">
      <c r="A11" s="38" t="s">
        <v>239</v>
      </c>
      <c r="B11" s="38" t="s">
        <v>450</v>
      </c>
      <c r="C11" s="39">
        <v>245</v>
      </c>
      <c r="D11" s="39">
        <v>26</v>
      </c>
      <c r="E11" s="39">
        <v>0</v>
      </c>
      <c r="F11" s="40">
        <v>0</v>
      </c>
      <c r="G11" s="40">
        <v>0</v>
      </c>
      <c r="H11" s="39">
        <v>0</v>
      </c>
      <c r="I11" s="41">
        <v>0</v>
      </c>
      <c r="J11" s="41">
        <v>169</v>
      </c>
      <c r="K11" s="41">
        <v>185</v>
      </c>
      <c r="L11" s="41">
        <v>219</v>
      </c>
      <c r="M11" s="41">
        <v>245</v>
      </c>
      <c r="N11" s="39">
        <f t="shared" si="0"/>
        <v>245</v>
      </c>
      <c r="O11" s="42">
        <v>67</v>
      </c>
      <c r="P11" s="41">
        <f t="shared" si="1"/>
        <v>185</v>
      </c>
      <c r="Q11" s="43"/>
      <c r="R11" s="42"/>
      <c r="S11" s="42"/>
      <c r="T11" s="34"/>
      <c r="U11" s="34" t="s">
        <v>453</v>
      </c>
      <c r="V11" s="34" t="s">
        <v>525</v>
      </c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</row>
    <row r="12" spans="1:22 16138:16382" s="37" customFormat="1" x14ac:dyDescent="0.25">
      <c r="A12" s="38" t="s">
        <v>247</v>
      </c>
      <c r="B12" s="38" t="s">
        <v>451</v>
      </c>
      <c r="C12" s="39">
        <v>449.5</v>
      </c>
      <c r="D12" s="39">
        <v>0</v>
      </c>
      <c r="E12" s="39">
        <v>0</v>
      </c>
      <c r="F12" s="40">
        <v>0</v>
      </c>
      <c r="G12" s="40">
        <v>0</v>
      </c>
      <c r="H12" s="39">
        <v>0</v>
      </c>
      <c r="I12" s="41">
        <v>0</v>
      </c>
      <c r="J12" s="41">
        <v>0</v>
      </c>
      <c r="K12" s="41">
        <v>211</v>
      </c>
      <c r="L12" s="41">
        <v>0</v>
      </c>
      <c r="M12" s="41">
        <v>450</v>
      </c>
      <c r="N12" s="39">
        <f t="shared" si="0"/>
        <v>449.5</v>
      </c>
      <c r="O12" s="42">
        <v>22</v>
      </c>
      <c r="P12" s="41">
        <f t="shared" si="1"/>
        <v>211</v>
      </c>
      <c r="Q12" s="43"/>
      <c r="R12" s="42"/>
      <c r="S12" s="42"/>
      <c r="T12" s="34"/>
      <c r="U12" s="34" t="s">
        <v>454</v>
      </c>
      <c r="V12" s="34" t="s">
        <v>526</v>
      </c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</row>
    <row r="13" spans="1:22 16138:16382" s="37" customFormat="1" x14ac:dyDescent="0.25">
      <c r="A13" s="38" t="s">
        <v>247</v>
      </c>
      <c r="B13" s="38" t="s">
        <v>452</v>
      </c>
      <c r="C13" s="39">
        <v>0</v>
      </c>
      <c r="D13" s="39">
        <v>0</v>
      </c>
      <c r="E13" s="39">
        <v>0</v>
      </c>
      <c r="F13" s="40">
        <v>0</v>
      </c>
      <c r="G13" s="40">
        <v>2</v>
      </c>
      <c r="H13" s="39">
        <v>1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39">
        <f t="shared" si="0"/>
        <v>3</v>
      </c>
      <c r="O13" s="42"/>
      <c r="P13" s="41">
        <f t="shared" si="1"/>
        <v>0</v>
      </c>
      <c r="Q13" s="43"/>
      <c r="R13" s="42"/>
      <c r="S13" s="42"/>
      <c r="T13" s="34"/>
      <c r="U13" s="34" t="s">
        <v>478</v>
      </c>
      <c r="V13" s="34" t="s">
        <v>527</v>
      </c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</row>
    <row r="14" spans="1:22 16138:16382" s="37" customFormat="1" x14ac:dyDescent="0.25">
      <c r="A14" s="38" t="s">
        <v>247</v>
      </c>
      <c r="B14" s="38" t="s">
        <v>453</v>
      </c>
      <c r="C14" s="39">
        <v>237</v>
      </c>
      <c r="D14" s="39">
        <v>42</v>
      </c>
      <c r="E14" s="39">
        <v>0</v>
      </c>
      <c r="F14" s="40">
        <v>0</v>
      </c>
      <c r="G14" s="40">
        <v>33</v>
      </c>
      <c r="H14" s="39">
        <v>2.5</v>
      </c>
      <c r="I14" s="41">
        <v>0</v>
      </c>
      <c r="J14" s="41">
        <v>111</v>
      </c>
      <c r="K14" s="41">
        <v>132</v>
      </c>
      <c r="L14" s="41">
        <v>195</v>
      </c>
      <c r="M14" s="41">
        <v>237</v>
      </c>
      <c r="N14" s="39">
        <f t="shared" si="0"/>
        <v>272.5</v>
      </c>
      <c r="O14" s="42">
        <v>107</v>
      </c>
      <c r="P14" s="41">
        <f t="shared" si="1"/>
        <v>132</v>
      </c>
      <c r="Q14" s="43"/>
      <c r="R14" s="42"/>
      <c r="S14" s="42"/>
      <c r="T14" s="34"/>
      <c r="U14" s="34" t="s">
        <v>456</v>
      </c>
      <c r="V14" s="34" t="s">
        <v>528</v>
      </c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</row>
    <row r="15" spans="1:22 16138:16382" s="37" customFormat="1" x14ac:dyDescent="0.25">
      <c r="A15" s="38" t="s">
        <v>247</v>
      </c>
      <c r="B15" s="38" t="s">
        <v>454</v>
      </c>
      <c r="C15" s="39">
        <v>142</v>
      </c>
      <c r="D15" s="39">
        <v>0</v>
      </c>
      <c r="E15" s="39">
        <v>0</v>
      </c>
      <c r="F15" s="40">
        <v>0</v>
      </c>
      <c r="G15" s="40">
        <v>0</v>
      </c>
      <c r="H15" s="39">
        <v>0</v>
      </c>
      <c r="I15" s="41">
        <v>0</v>
      </c>
      <c r="J15" s="41">
        <v>0</v>
      </c>
      <c r="K15" s="41">
        <v>128</v>
      </c>
      <c r="L15" s="41">
        <v>0</v>
      </c>
      <c r="M15" s="41">
        <v>142</v>
      </c>
      <c r="N15" s="39">
        <f t="shared" si="0"/>
        <v>142</v>
      </c>
      <c r="O15" s="42">
        <v>53</v>
      </c>
      <c r="P15" s="41">
        <f t="shared" si="1"/>
        <v>128</v>
      </c>
      <c r="Q15" s="43"/>
      <c r="R15" s="42"/>
      <c r="S15" s="42"/>
      <c r="T15" s="34"/>
      <c r="U15" s="34" t="s">
        <v>479</v>
      </c>
      <c r="V15" s="34" t="s">
        <v>529</v>
      </c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</row>
    <row r="16" spans="1:22 16138:16382" s="37" customFormat="1" x14ac:dyDescent="0.25">
      <c r="A16" s="38" t="s">
        <v>247</v>
      </c>
      <c r="B16" s="38" t="s">
        <v>455</v>
      </c>
      <c r="C16" s="39">
        <v>83</v>
      </c>
      <c r="D16" s="39">
        <v>0</v>
      </c>
      <c r="E16" s="39">
        <v>0</v>
      </c>
      <c r="F16" s="40">
        <v>0</v>
      </c>
      <c r="G16" s="40">
        <v>0</v>
      </c>
      <c r="H16" s="39">
        <v>0</v>
      </c>
      <c r="I16" s="41">
        <v>0</v>
      </c>
      <c r="J16" s="41">
        <v>0</v>
      </c>
      <c r="K16" s="41">
        <v>83</v>
      </c>
      <c r="L16" s="41">
        <v>0</v>
      </c>
      <c r="M16" s="41">
        <v>83</v>
      </c>
      <c r="N16" s="39">
        <f t="shared" si="0"/>
        <v>83</v>
      </c>
      <c r="O16" s="42">
        <v>11</v>
      </c>
      <c r="P16" s="41">
        <f t="shared" si="1"/>
        <v>83</v>
      </c>
      <c r="Q16" s="43"/>
      <c r="R16" s="42"/>
      <c r="S16" s="42"/>
      <c r="T16" s="34"/>
      <c r="U16" s="34" t="s">
        <v>457</v>
      </c>
      <c r="V16" s="34" t="s">
        <v>530</v>
      </c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</row>
    <row r="17" spans="1:22 16138:16382" s="37" customFormat="1" x14ac:dyDescent="0.25">
      <c r="A17" s="38" t="s">
        <v>260</v>
      </c>
      <c r="B17" s="38" t="s">
        <v>456</v>
      </c>
      <c r="C17" s="39">
        <v>117</v>
      </c>
      <c r="D17" s="39">
        <v>17</v>
      </c>
      <c r="E17" s="39">
        <v>0</v>
      </c>
      <c r="F17" s="40">
        <v>0</v>
      </c>
      <c r="G17" s="40">
        <v>0</v>
      </c>
      <c r="H17" s="39">
        <v>0</v>
      </c>
      <c r="I17" s="39">
        <v>0</v>
      </c>
      <c r="J17" s="41">
        <v>9</v>
      </c>
      <c r="K17" s="41">
        <v>10</v>
      </c>
      <c r="L17" s="41">
        <v>100</v>
      </c>
      <c r="M17" s="41">
        <v>117</v>
      </c>
      <c r="N17" s="39">
        <f t="shared" si="0"/>
        <v>117</v>
      </c>
      <c r="O17" s="42"/>
      <c r="P17" s="41">
        <f t="shared" si="1"/>
        <v>10</v>
      </c>
      <c r="Q17" s="43"/>
      <c r="R17" s="42"/>
      <c r="S17" s="42"/>
      <c r="T17" s="34"/>
      <c r="U17" s="34" t="s">
        <v>458</v>
      </c>
      <c r="V17" s="34" t="s">
        <v>531</v>
      </c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</row>
    <row r="18" spans="1:22 16138:16382" s="37" customFormat="1" x14ac:dyDescent="0.25">
      <c r="A18" s="38" t="s">
        <v>274</v>
      </c>
      <c r="B18" s="38" t="s">
        <v>479</v>
      </c>
      <c r="C18" s="39">
        <v>788.5</v>
      </c>
      <c r="D18" s="39">
        <v>57.5</v>
      </c>
      <c r="E18" s="39">
        <v>27.5</v>
      </c>
      <c r="F18" s="40">
        <v>0</v>
      </c>
      <c r="G18" s="40">
        <v>0</v>
      </c>
      <c r="H18" s="39">
        <v>0</v>
      </c>
      <c r="I18" s="39">
        <v>0</v>
      </c>
      <c r="J18" s="41">
        <v>45</v>
      </c>
      <c r="K18" s="41">
        <v>55</v>
      </c>
      <c r="L18" s="41">
        <v>659</v>
      </c>
      <c r="M18" s="41">
        <v>855</v>
      </c>
      <c r="N18" s="39">
        <f t="shared" si="0"/>
        <v>792.9</v>
      </c>
      <c r="O18" s="42">
        <v>6</v>
      </c>
      <c r="P18" s="41">
        <f t="shared" si="1"/>
        <v>55</v>
      </c>
      <c r="Q18" s="43"/>
      <c r="R18" s="42"/>
      <c r="S18" s="42"/>
      <c r="T18" s="34"/>
      <c r="U18" s="34" t="s">
        <v>459</v>
      </c>
      <c r="V18" s="34" t="s">
        <v>505</v>
      </c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</row>
    <row r="19" spans="1:22 16138:16382" s="37" customFormat="1" x14ac:dyDescent="0.25">
      <c r="A19" s="38" t="s">
        <v>274</v>
      </c>
      <c r="B19" s="38" t="s">
        <v>457</v>
      </c>
      <c r="C19" s="39">
        <v>987.5</v>
      </c>
      <c r="D19" s="39">
        <v>0</v>
      </c>
      <c r="E19" s="39">
        <v>0</v>
      </c>
      <c r="F19" s="40">
        <v>0</v>
      </c>
      <c r="G19" s="40">
        <v>0</v>
      </c>
      <c r="H19" s="39">
        <v>0</v>
      </c>
      <c r="I19" s="41">
        <v>0</v>
      </c>
      <c r="J19" s="41">
        <v>2</v>
      </c>
      <c r="K19" s="41">
        <v>80</v>
      </c>
      <c r="L19" s="41">
        <v>21</v>
      </c>
      <c r="M19" s="41">
        <v>1096</v>
      </c>
      <c r="N19" s="39">
        <f t="shared" si="0"/>
        <v>987.5</v>
      </c>
      <c r="O19" s="42">
        <v>5</v>
      </c>
      <c r="P19" s="41">
        <f t="shared" si="1"/>
        <v>80</v>
      </c>
      <c r="Q19" s="43"/>
      <c r="R19" s="42"/>
      <c r="S19" s="42"/>
      <c r="T19" s="34"/>
      <c r="U19" s="34" t="s">
        <v>460</v>
      </c>
      <c r="V19" s="34" t="s">
        <v>506</v>
      </c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</row>
    <row r="20" spans="1:22 16138:16382" s="37" customFormat="1" x14ac:dyDescent="0.25">
      <c r="A20" s="38" t="s">
        <v>275</v>
      </c>
      <c r="B20" s="38" t="s">
        <v>458</v>
      </c>
      <c r="C20" s="39">
        <v>314</v>
      </c>
      <c r="D20" s="39">
        <v>32</v>
      </c>
      <c r="E20" s="39">
        <v>0</v>
      </c>
      <c r="F20" s="40">
        <v>0</v>
      </c>
      <c r="G20" s="40">
        <v>0</v>
      </c>
      <c r="H20" s="39">
        <v>0</v>
      </c>
      <c r="I20" s="41">
        <v>0</v>
      </c>
      <c r="J20" s="41">
        <v>54</v>
      </c>
      <c r="K20" s="41">
        <v>55</v>
      </c>
      <c r="L20" s="41">
        <v>282</v>
      </c>
      <c r="M20" s="41">
        <v>314</v>
      </c>
      <c r="N20" s="39">
        <f t="shared" si="0"/>
        <v>314</v>
      </c>
      <c r="O20" s="42">
        <v>28</v>
      </c>
      <c r="P20" s="41">
        <f t="shared" si="1"/>
        <v>55</v>
      </c>
      <c r="Q20" s="43"/>
      <c r="R20" s="42"/>
      <c r="S20" s="42"/>
      <c r="T20" s="34"/>
      <c r="U20" s="34" t="s">
        <v>461</v>
      </c>
      <c r="V20" s="34" t="s">
        <v>507</v>
      </c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</row>
    <row r="21" spans="1:22 16138:16382" s="37" customFormat="1" x14ac:dyDescent="0.25">
      <c r="A21" s="38" t="s">
        <v>285</v>
      </c>
      <c r="B21" s="38" t="s">
        <v>459</v>
      </c>
      <c r="C21" s="39">
        <v>411</v>
      </c>
      <c r="D21" s="39">
        <v>38</v>
      </c>
      <c r="E21" s="39">
        <v>0</v>
      </c>
      <c r="F21" s="40">
        <v>0</v>
      </c>
      <c r="G21" s="40">
        <v>0</v>
      </c>
      <c r="H21" s="39">
        <v>0</v>
      </c>
      <c r="I21" s="39">
        <v>0</v>
      </c>
      <c r="J21" s="41">
        <v>260</v>
      </c>
      <c r="K21" s="41">
        <v>284</v>
      </c>
      <c r="L21" s="41">
        <v>373</v>
      </c>
      <c r="M21" s="41">
        <v>411</v>
      </c>
      <c r="N21" s="39">
        <f t="shared" si="0"/>
        <v>411</v>
      </c>
      <c r="O21" s="42">
        <v>25</v>
      </c>
      <c r="P21" s="41">
        <f t="shared" si="1"/>
        <v>284</v>
      </c>
      <c r="Q21" s="43"/>
      <c r="R21" s="42"/>
      <c r="S21" s="42"/>
      <c r="T21" s="34"/>
      <c r="U21" s="34" t="s">
        <v>462</v>
      </c>
      <c r="V21" s="34" t="s">
        <v>532</v>
      </c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  <c r="XFB21"/>
    </row>
    <row r="22" spans="1:22 16138:16382" s="37" customFormat="1" ht="13.5" customHeight="1" x14ac:dyDescent="0.25">
      <c r="A22" s="38" t="s">
        <v>285</v>
      </c>
      <c r="B22" s="38" t="s">
        <v>460</v>
      </c>
      <c r="C22" s="39">
        <v>682.5</v>
      </c>
      <c r="D22" s="39">
        <v>57</v>
      </c>
      <c r="E22" s="39">
        <v>0</v>
      </c>
      <c r="F22" s="40">
        <v>0</v>
      </c>
      <c r="G22" s="40">
        <v>0</v>
      </c>
      <c r="H22" s="39">
        <v>0</v>
      </c>
      <c r="I22" s="39">
        <v>0</v>
      </c>
      <c r="J22" s="41">
        <v>179</v>
      </c>
      <c r="K22" s="41">
        <v>254</v>
      </c>
      <c r="L22" s="41">
        <v>523</v>
      </c>
      <c r="M22" s="41">
        <v>747</v>
      </c>
      <c r="N22" s="39">
        <f t="shared" si="0"/>
        <v>682.5</v>
      </c>
      <c r="O22" s="42">
        <v>20</v>
      </c>
      <c r="P22" s="41">
        <f t="shared" si="1"/>
        <v>254</v>
      </c>
      <c r="Q22" s="43"/>
      <c r="R22" s="42"/>
      <c r="S22" s="42"/>
      <c r="T22" s="34"/>
      <c r="U22" s="34" t="s">
        <v>463</v>
      </c>
      <c r="V22" s="34" t="s">
        <v>533</v>
      </c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  <c r="XFB22"/>
    </row>
    <row r="23" spans="1:22 16138:16382" s="37" customFormat="1" x14ac:dyDescent="0.25">
      <c r="A23" s="38" t="s">
        <v>285</v>
      </c>
      <c r="B23" s="38" t="s">
        <v>461</v>
      </c>
      <c r="C23" s="39">
        <v>403</v>
      </c>
      <c r="D23" s="39">
        <v>57</v>
      </c>
      <c r="E23" s="39">
        <v>0</v>
      </c>
      <c r="F23" s="40">
        <v>0</v>
      </c>
      <c r="G23" s="40">
        <v>0</v>
      </c>
      <c r="H23" s="39">
        <v>0</v>
      </c>
      <c r="I23" s="41">
        <v>0</v>
      </c>
      <c r="J23" s="41">
        <v>109</v>
      </c>
      <c r="K23" s="41">
        <v>129</v>
      </c>
      <c r="L23" s="41">
        <v>346</v>
      </c>
      <c r="M23" s="41">
        <v>403</v>
      </c>
      <c r="N23" s="39">
        <f t="shared" si="0"/>
        <v>403</v>
      </c>
      <c r="O23" s="42">
        <v>19</v>
      </c>
      <c r="P23" s="41">
        <f t="shared" si="1"/>
        <v>129</v>
      </c>
      <c r="Q23" s="43"/>
      <c r="R23" s="42"/>
      <c r="S23" s="42"/>
      <c r="T23" s="34"/>
      <c r="U23" s="34" t="s">
        <v>464</v>
      </c>
      <c r="V23" s="34" t="s">
        <v>534</v>
      </c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  <c r="XFB23"/>
    </row>
    <row r="24" spans="1:22 16138:16382" s="37" customFormat="1" x14ac:dyDescent="0.25">
      <c r="A24" s="38" t="s">
        <v>285</v>
      </c>
      <c r="B24" s="38" t="s">
        <v>462</v>
      </c>
      <c r="C24" s="39">
        <v>626</v>
      </c>
      <c r="D24" s="39">
        <v>0</v>
      </c>
      <c r="E24" s="39">
        <v>0</v>
      </c>
      <c r="F24" s="40">
        <v>0</v>
      </c>
      <c r="G24" s="40">
        <v>0</v>
      </c>
      <c r="H24" s="39">
        <v>0</v>
      </c>
      <c r="I24" s="41">
        <v>0</v>
      </c>
      <c r="J24" s="41">
        <v>22</v>
      </c>
      <c r="K24" s="41">
        <v>126</v>
      </c>
      <c r="L24" s="41">
        <v>109</v>
      </c>
      <c r="M24" s="41">
        <v>637</v>
      </c>
      <c r="N24" s="39">
        <f t="shared" si="0"/>
        <v>626</v>
      </c>
      <c r="O24" s="42">
        <v>6</v>
      </c>
      <c r="P24" s="41">
        <f t="shared" si="1"/>
        <v>126</v>
      </c>
      <c r="Q24" s="43"/>
      <c r="R24" s="42"/>
      <c r="S24" s="42"/>
      <c r="T24" s="34"/>
      <c r="U24" s="34" t="s">
        <v>467</v>
      </c>
      <c r="V24" s="34" t="s">
        <v>508</v>
      </c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</row>
    <row r="25" spans="1:22 16138:16382" s="37" customFormat="1" x14ac:dyDescent="0.25">
      <c r="A25" s="38" t="s">
        <v>285</v>
      </c>
      <c r="B25" s="38" t="s">
        <v>463</v>
      </c>
      <c r="C25" s="39">
        <v>271</v>
      </c>
      <c r="D25" s="39">
        <v>54</v>
      </c>
      <c r="E25" s="39">
        <v>7</v>
      </c>
      <c r="F25" s="40">
        <v>0</v>
      </c>
      <c r="G25" s="40">
        <v>0</v>
      </c>
      <c r="H25" s="39">
        <v>0</v>
      </c>
      <c r="I25" s="41">
        <v>0</v>
      </c>
      <c r="J25" s="41">
        <v>90</v>
      </c>
      <c r="K25" s="41">
        <v>117</v>
      </c>
      <c r="L25" s="41">
        <v>241</v>
      </c>
      <c r="M25" s="41">
        <v>302</v>
      </c>
      <c r="N25" s="39">
        <f t="shared" si="0"/>
        <v>272.10000000000002</v>
      </c>
      <c r="O25" s="42">
        <v>40</v>
      </c>
      <c r="P25" s="41">
        <f t="shared" si="1"/>
        <v>117</v>
      </c>
      <c r="Q25" s="43"/>
      <c r="R25" s="42"/>
      <c r="S25" s="42"/>
      <c r="T25" s="34"/>
      <c r="U25" s="34" t="s">
        <v>465</v>
      </c>
      <c r="V25" s="34" t="s">
        <v>509</v>
      </c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</row>
    <row r="26" spans="1:22 16138:16382" s="37" customFormat="1" x14ac:dyDescent="0.25">
      <c r="A26" s="38" t="s">
        <v>285</v>
      </c>
      <c r="B26" s="38" t="s">
        <v>464</v>
      </c>
      <c r="C26" s="39">
        <v>307</v>
      </c>
      <c r="D26" s="39">
        <v>48</v>
      </c>
      <c r="E26" s="39">
        <v>0</v>
      </c>
      <c r="F26" s="40">
        <v>0</v>
      </c>
      <c r="G26" s="40">
        <v>0</v>
      </c>
      <c r="H26" s="39">
        <v>0</v>
      </c>
      <c r="I26" s="41">
        <v>0</v>
      </c>
      <c r="J26" s="41">
        <v>120</v>
      </c>
      <c r="K26" s="41">
        <v>141</v>
      </c>
      <c r="L26" s="41">
        <v>259</v>
      </c>
      <c r="M26" s="41">
        <v>307</v>
      </c>
      <c r="N26" s="39">
        <f t="shared" si="0"/>
        <v>307</v>
      </c>
      <c r="O26" s="42">
        <v>5</v>
      </c>
      <c r="P26" s="41">
        <f t="shared" si="1"/>
        <v>141</v>
      </c>
      <c r="Q26" s="43"/>
      <c r="R26" s="42"/>
      <c r="S26" s="42"/>
      <c r="T26" s="34"/>
      <c r="U26" s="34" t="s">
        <v>466</v>
      </c>
      <c r="V26" s="34" t="s">
        <v>535</v>
      </c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</row>
    <row r="27" spans="1:22 16138:16382" s="37" customFormat="1" x14ac:dyDescent="0.25">
      <c r="A27" s="38" t="s">
        <v>285</v>
      </c>
      <c r="B27" s="38" t="s">
        <v>467</v>
      </c>
      <c r="C27" s="39">
        <v>213</v>
      </c>
      <c r="D27" s="39">
        <v>33</v>
      </c>
      <c r="E27" s="39">
        <v>0</v>
      </c>
      <c r="F27" s="40">
        <v>0</v>
      </c>
      <c r="G27" s="40">
        <v>0</v>
      </c>
      <c r="H27" s="39">
        <v>0</v>
      </c>
      <c r="I27" s="41">
        <v>0</v>
      </c>
      <c r="J27" s="41">
        <v>98</v>
      </c>
      <c r="K27" s="41">
        <v>112</v>
      </c>
      <c r="L27" s="41">
        <v>180</v>
      </c>
      <c r="M27" s="41">
        <v>213</v>
      </c>
      <c r="N27" s="39">
        <f t="shared" si="0"/>
        <v>213</v>
      </c>
      <c r="O27" s="42">
        <v>14</v>
      </c>
      <c r="P27" s="41">
        <f t="shared" si="1"/>
        <v>112</v>
      </c>
      <c r="Q27" s="43"/>
      <c r="R27" s="42"/>
      <c r="S27" s="42"/>
      <c r="T27" s="34"/>
      <c r="U27" s="34" t="s">
        <v>468</v>
      </c>
      <c r="V27" s="34" t="s">
        <v>536</v>
      </c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</row>
    <row r="28" spans="1:22 16138:16382" s="37" customFormat="1" x14ac:dyDescent="0.25">
      <c r="A28" s="38" t="s">
        <v>285</v>
      </c>
      <c r="B28" s="38" t="s">
        <v>465</v>
      </c>
      <c r="C28" s="39">
        <v>357.5</v>
      </c>
      <c r="D28" s="39">
        <v>64</v>
      </c>
      <c r="E28" s="39">
        <v>6</v>
      </c>
      <c r="F28" s="40">
        <v>0</v>
      </c>
      <c r="G28" s="40">
        <v>0</v>
      </c>
      <c r="H28" s="39">
        <v>0</v>
      </c>
      <c r="I28" s="41">
        <v>0</v>
      </c>
      <c r="J28" s="41">
        <v>108</v>
      </c>
      <c r="K28" s="41">
        <v>128</v>
      </c>
      <c r="L28" s="41">
        <v>333</v>
      </c>
      <c r="M28" s="41">
        <v>403</v>
      </c>
      <c r="N28" s="39">
        <f t="shared" si="0"/>
        <v>358.5</v>
      </c>
      <c r="O28" s="42">
        <v>5</v>
      </c>
      <c r="P28" s="41">
        <f t="shared" si="1"/>
        <v>128</v>
      </c>
      <c r="Q28" s="43"/>
      <c r="R28" s="42"/>
      <c r="S28" s="42"/>
      <c r="T28" s="34"/>
      <c r="U28" s="34" t="s">
        <v>469</v>
      </c>
      <c r="V28" s="34" t="s">
        <v>537</v>
      </c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</row>
    <row r="29" spans="1:22 16138:16382" s="37" customFormat="1" x14ac:dyDescent="0.25">
      <c r="A29" s="38" t="s">
        <v>285</v>
      </c>
      <c r="B29" s="38" t="s">
        <v>466</v>
      </c>
      <c r="C29" s="39">
        <v>905.5</v>
      </c>
      <c r="D29" s="39">
        <v>87.5</v>
      </c>
      <c r="E29" s="39">
        <v>0.5</v>
      </c>
      <c r="F29" s="40">
        <v>0</v>
      </c>
      <c r="G29" s="40">
        <v>0</v>
      </c>
      <c r="H29" s="39">
        <v>0</v>
      </c>
      <c r="I29" s="41">
        <v>0</v>
      </c>
      <c r="J29" s="41">
        <v>163</v>
      </c>
      <c r="K29" s="41">
        <v>221</v>
      </c>
      <c r="L29" s="41">
        <v>583</v>
      </c>
      <c r="M29" s="41">
        <v>906</v>
      </c>
      <c r="N29" s="39">
        <f t="shared" si="0"/>
        <v>905.6</v>
      </c>
      <c r="O29" s="42">
        <v>18</v>
      </c>
      <c r="P29" s="41">
        <f t="shared" si="1"/>
        <v>221</v>
      </c>
      <c r="Q29" s="43"/>
      <c r="R29" s="42"/>
      <c r="S29" s="42"/>
      <c r="T29" s="34"/>
      <c r="U29" s="34" t="s">
        <v>470</v>
      </c>
      <c r="V29" s="34" t="s">
        <v>511</v>
      </c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</row>
    <row r="30" spans="1:22 16138:16382" s="37" customFormat="1" x14ac:dyDescent="0.25">
      <c r="A30" s="38" t="s">
        <v>299</v>
      </c>
      <c r="B30" s="38" t="s">
        <v>468</v>
      </c>
      <c r="C30" s="39">
        <v>310</v>
      </c>
      <c r="D30" s="39">
        <v>48</v>
      </c>
      <c r="E30" s="39">
        <v>0</v>
      </c>
      <c r="F30" s="40">
        <v>0</v>
      </c>
      <c r="G30" s="40">
        <v>0</v>
      </c>
      <c r="H30" s="39">
        <v>0</v>
      </c>
      <c r="I30" s="41">
        <v>0</v>
      </c>
      <c r="J30" s="41">
        <v>57</v>
      </c>
      <c r="K30" s="41">
        <v>62</v>
      </c>
      <c r="L30" s="41">
        <v>262</v>
      </c>
      <c r="M30" s="41">
        <v>310</v>
      </c>
      <c r="N30" s="39">
        <f t="shared" si="0"/>
        <v>310</v>
      </c>
      <c r="O30" s="42">
        <v>36</v>
      </c>
      <c r="P30" s="41">
        <f t="shared" si="1"/>
        <v>62</v>
      </c>
      <c r="Q30" s="43"/>
      <c r="R30" s="42"/>
      <c r="S30" s="42"/>
      <c r="T30" s="34"/>
      <c r="U30" s="34" t="s">
        <v>471</v>
      </c>
      <c r="V30" s="34" t="s">
        <v>538</v>
      </c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</row>
    <row r="31" spans="1:22 16138:16382" s="37" customFormat="1" x14ac:dyDescent="0.25">
      <c r="A31" s="38" t="s">
        <v>299</v>
      </c>
      <c r="B31" s="38" t="s">
        <v>469</v>
      </c>
      <c r="C31" s="39">
        <v>391</v>
      </c>
      <c r="D31" s="39">
        <v>41</v>
      </c>
      <c r="E31" s="39">
        <v>0</v>
      </c>
      <c r="F31" s="40">
        <v>0</v>
      </c>
      <c r="G31" s="40">
        <v>0</v>
      </c>
      <c r="H31" s="39">
        <v>0</v>
      </c>
      <c r="I31" s="41">
        <v>0</v>
      </c>
      <c r="J31" s="41">
        <v>77</v>
      </c>
      <c r="K31" s="41">
        <v>85</v>
      </c>
      <c r="L31" s="41">
        <v>350</v>
      </c>
      <c r="M31" s="41">
        <v>391</v>
      </c>
      <c r="N31" s="39">
        <f t="shared" si="0"/>
        <v>391</v>
      </c>
      <c r="O31" s="42">
        <v>43</v>
      </c>
      <c r="P31" s="41">
        <f t="shared" si="1"/>
        <v>85</v>
      </c>
      <c r="Q31" s="43"/>
      <c r="R31" s="42"/>
      <c r="S31" s="42"/>
      <c r="T31" s="34"/>
      <c r="U31" s="34" t="s">
        <v>472</v>
      </c>
      <c r="V31" s="34" t="s">
        <v>510</v>
      </c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</row>
    <row r="32" spans="1:22 16138:16382" s="37" customFormat="1" x14ac:dyDescent="0.25">
      <c r="A32" s="38" t="s">
        <v>310</v>
      </c>
      <c r="B32" s="38" t="s">
        <v>470</v>
      </c>
      <c r="C32" s="39">
        <v>719</v>
      </c>
      <c r="D32" s="39">
        <v>53</v>
      </c>
      <c r="E32" s="39">
        <v>7</v>
      </c>
      <c r="F32" s="40">
        <v>0</v>
      </c>
      <c r="G32" s="40">
        <v>0</v>
      </c>
      <c r="H32" s="39">
        <v>0</v>
      </c>
      <c r="I32" s="41">
        <v>0</v>
      </c>
      <c r="J32" s="41">
        <v>31</v>
      </c>
      <c r="K32" s="41">
        <v>43</v>
      </c>
      <c r="L32" s="41">
        <v>490</v>
      </c>
      <c r="M32" s="41">
        <v>726</v>
      </c>
      <c r="N32" s="39">
        <f t="shared" si="0"/>
        <v>720.1</v>
      </c>
      <c r="O32" s="42">
        <v>1</v>
      </c>
      <c r="P32" s="41">
        <f t="shared" si="1"/>
        <v>43</v>
      </c>
      <c r="Q32" s="43"/>
      <c r="R32" s="42"/>
      <c r="S32" s="42"/>
      <c r="T32" s="34"/>
      <c r="U32" s="34" t="s">
        <v>474</v>
      </c>
      <c r="V32" s="34" t="s">
        <v>539</v>
      </c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  <c r="XFB32"/>
    </row>
    <row r="33" spans="1:22 16138:16382" x14ac:dyDescent="0.25">
      <c r="A33" s="38" t="s">
        <v>319</v>
      </c>
      <c r="B33" s="38" t="s">
        <v>471</v>
      </c>
      <c r="C33" s="39">
        <v>198.5</v>
      </c>
      <c r="D33" s="39">
        <v>0</v>
      </c>
      <c r="E33" s="39">
        <v>0</v>
      </c>
      <c r="F33" s="40">
        <v>0</v>
      </c>
      <c r="G33" s="40">
        <v>0</v>
      </c>
      <c r="H33" s="39">
        <v>0</v>
      </c>
      <c r="I33" s="41">
        <v>0</v>
      </c>
      <c r="J33" s="41">
        <v>0</v>
      </c>
      <c r="K33" s="41">
        <v>52</v>
      </c>
      <c r="L33" s="41">
        <v>0</v>
      </c>
      <c r="M33" s="41">
        <v>204</v>
      </c>
      <c r="N33" s="39">
        <f t="shared" si="0"/>
        <v>198.5</v>
      </c>
      <c r="O33" s="42">
        <v>1</v>
      </c>
      <c r="P33" s="41">
        <f t="shared" si="1"/>
        <v>52</v>
      </c>
      <c r="Q33" s="43"/>
      <c r="R33" s="42"/>
      <c r="S33" s="42"/>
      <c r="U33" s="34" t="s">
        <v>475</v>
      </c>
      <c r="V33" s="34" t="s">
        <v>513</v>
      </c>
    </row>
    <row r="34" spans="1:22 16138:16382" x14ac:dyDescent="0.25">
      <c r="A34" s="38" t="s">
        <v>319</v>
      </c>
      <c r="B34" s="38" t="s">
        <v>472</v>
      </c>
      <c r="C34" s="39">
        <v>255</v>
      </c>
      <c r="D34" s="39">
        <v>3</v>
      </c>
      <c r="E34" s="39">
        <v>3</v>
      </c>
      <c r="F34" s="40">
        <v>0</v>
      </c>
      <c r="G34" s="40">
        <v>0</v>
      </c>
      <c r="H34" s="39">
        <v>0</v>
      </c>
      <c r="I34" s="41">
        <v>0</v>
      </c>
      <c r="J34" s="41">
        <v>26</v>
      </c>
      <c r="K34" s="41">
        <v>26</v>
      </c>
      <c r="L34" s="41">
        <v>269</v>
      </c>
      <c r="M34" s="41">
        <v>275</v>
      </c>
      <c r="N34" s="39">
        <f t="shared" si="0"/>
        <v>255.5</v>
      </c>
      <c r="O34" s="42"/>
      <c r="P34" s="41">
        <f t="shared" si="1"/>
        <v>26</v>
      </c>
      <c r="Q34" s="43"/>
      <c r="R34" s="42"/>
      <c r="S34" s="42"/>
      <c r="U34" s="34" t="s">
        <v>473</v>
      </c>
      <c r="V34" s="34" t="s">
        <v>540</v>
      </c>
    </row>
    <row r="35" spans="1:22 16138:16382" x14ac:dyDescent="0.25">
      <c r="A35" s="38" t="s">
        <v>322</v>
      </c>
      <c r="B35" s="38" t="s">
        <v>474</v>
      </c>
      <c r="C35" s="39">
        <v>300</v>
      </c>
      <c r="D35" s="39">
        <v>0</v>
      </c>
      <c r="E35" s="39">
        <v>0</v>
      </c>
      <c r="F35" s="40">
        <v>0</v>
      </c>
      <c r="G35" s="40">
        <v>0</v>
      </c>
      <c r="H35" s="39">
        <v>0</v>
      </c>
      <c r="I35" s="41">
        <v>0</v>
      </c>
      <c r="J35" s="41">
        <v>54</v>
      </c>
      <c r="K35" s="41">
        <v>54</v>
      </c>
      <c r="L35" s="41">
        <v>513</v>
      </c>
      <c r="M35" s="41">
        <v>513</v>
      </c>
      <c r="N35" s="39">
        <f t="shared" si="0"/>
        <v>300</v>
      </c>
      <c r="O35" s="42">
        <v>4</v>
      </c>
      <c r="P35" s="41">
        <f t="shared" si="1"/>
        <v>54</v>
      </c>
      <c r="Q35" s="43"/>
      <c r="R35" s="42"/>
      <c r="S35" s="42"/>
      <c r="U35" s="34" t="s">
        <v>480</v>
      </c>
      <c r="V35" s="34" t="s">
        <v>541</v>
      </c>
    </row>
    <row r="36" spans="1:22 16138:16382" x14ac:dyDescent="0.25">
      <c r="A36" s="38" t="s">
        <v>322</v>
      </c>
      <c r="B36" s="38" t="s">
        <v>475</v>
      </c>
      <c r="C36" s="39">
        <v>185</v>
      </c>
      <c r="D36" s="39">
        <v>48.5</v>
      </c>
      <c r="E36" s="39">
        <v>0.5</v>
      </c>
      <c r="F36" s="40">
        <v>0</v>
      </c>
      <c r="G36" s="40">
        <v>0</v>
      </c>
      <c r="H36" s="39">
        <v>0</v>
      </c>
      <c r="I36" s="41">
        <v>0</v>
      </c>
      <c r="J36" s="41">
        <v>61</v>
      </c>
      <c r="K36" s="41">
        <v>81</v>
      </c>
      <c r="L36" s="41">
        <v>141</v>
      </c>
      <c r="M36" s="41">
        <v>190</v>
      </c>
      <c r="N36" s="39">
        <f t="shared" si="0"/>
        <v>185.1</v>
      </c>
      <c r="O36" s="42">
        <v>22</v>
      </c>
      <c r="P36" s="41">
        <f t="shared" si="1"/>
        <v>81</v>
      </c>
      <c r="Q36" s="43"/>
      <c r="R36" s="42"/>
      <c r="S36" s="42"/>
      <c r="U36" s="34" t="s">
        <v>476</v>
      </c>
      <c r="V36" s="34" t="s">
        <v>542</v>
      </c>
    </row>
    <row r="37" spans="1:22 16138:16382" x14ac:dyDescent="0.25">
      <c r="A37" s="38" t="s">
        <v>322</v>
      </c>
      <c r="B37" s="38" t="s">
        <v>473</v>
      </c>
      <c r="C37" s="39">
        <v>151.5</v>
      </c>
      <c r="D37" s="39">
        <v>32</v>
      </c>
      <c r="E37" s="39">
        <v>0</v>
      </c>
      <c r="F37" s="40">
        <v>0</v>
      </c>
      <c r="G37" s="40">
        <v>0</v>
      </c>
      <c r="H37" s="39">
        <v>0</v>
      </c>
      <c r="I37" s="41">
        <v>0</v>
      </c>
      <c r="J37" s="41">
        <v>51</v>
      </c>
      <c r="K37" s="41">
        <v>65</v>
      </c>
      <c r="L37" s="41">
        <v>120</v>
      </c>
      <c r="M37" s="41">
        <v>152</v>
      </c>
      <c r="N37" s="39">
        <f t="shared" si="0"/>
        <v>151.5</v>
      </c>
      <c r="O37" s="42">
        <v>4</v>
      </c>
      <c r="P37" s="41">
        <f t="shared" si="1"/>
        <v>65</v>
      </c>
      <c r="Q37" s="43"/>
      <c r="R37" s="42"/>
      <c r="S37" s="42"/>
      <c r="U37" s="34" t="s">
        <v>495</v>
      </c>
      <c r="V37" s="34" t="s">
        <v>543</v>
      </c>
    </row>
    <row r="38" spans="1:22 16138:16382" x14ac:dyDescent="0.25">
      <c r="A38" s="38" t="s">
        <v>322</v>
      </c>
      <c r="B38" s="38" t="s">
        <v>480</v>
      </c>
      <c r="C38" s="39">
        <v>514</v>
      </c>
      <c r="D38" s="39">
        <v>36.5</v>
      </c>
      <c r="E38" s="39">
        <v>36.5</v>
      </c>
      <c r="F38" s="40">
        <v>0</v>
      </c>
      <c r="G38" s="40">
        <v>0</v>
      </c>
      <c r="H38" s="39">
        <v>0</v>
      </c>
      <c r="I38" s="41">
        <v>0</v>
      </c>
      <c r="J38" s="41">
        <v>40</v>
      </c>
      <c r="K38" s="41">
        <v>47</v>
      </c>
      <c r="L38" s="41">
        <v>489</v>
      </c>
      <c r="M38" s="41">
        <v>580</v>
      </c>
      <c r="N38" s="39">
        <f t="shared" si="0"/>
        <v>519.79999999999995</v>
      </c>
      <c r="O38" s="42">
        <v>2</v>
      </c>
      <c r="P38" s="41">
        <f t="shared" si="1"/>
        <v>47</v>
      </c>
      <c r="Q38" s="43"/>
      <c r="R38" s="42"/>
      <c r="S38" s="42"/>
      <c r="U38" s="34" t="s">
        <v>496</v>
      </c>
      <c r="V38" s="34" t="s">
        <v>544</v>
      </c>
    </row>
    <row r="39" spans="1:22 16138:16382" x14ac:dyDescent="0.25">
      <c r="A39" s="38" t="s">
        <v>322</v>
      </c>
      <c r="B39" s="38" t="s">
        <v>476</v>
      </c>
      <c r="C39" s="39">
        <v>695</v>
      </c>
      <c r="D39" s="39">
        <v>74</v>
      </c>
      <c r="E39" s="39">
        <v>74</v>
      </c>
      <c r="F39" s="40">
        <v>0</v>
      </c>
      <c r="G39" s="40">
        <v>0</v>
      </c>
      <c r="H39" s="39">
        <v>0</v>
      </c>
      <c r="I39" s="41">
        <v>0</v>
      </c>
      <c r="J39" s="41">
        <v>71</v>
      </c>
      <c r="K39" s="41">
        <v>83</v>
      </c>
      <c r="L39" s="41">
        <v>1100</v>
      </c>
      <c r="M39" s="41">
        <v>1294</v>
      </c>
      <c r="N39" s="39">
        <f t="shared" si="0"/>
        <v>706.8</v>
      </c>
      <c r="O39" s="42"/>
      <c r="P39" s="41">
        <f t="shared" si="1"/>
        <v>83</v>
      </c>
      <c r="Q39" s="43"/>
      <c r="R39" s="42"/>
      <c r="S39" s="42"/>
      <c r="U39" s="34" t="s">
        <v>497</v>
      </c>
      <c r="V39" s="34" t="s">
        <v>512</v>
      </c>
    </row>
    <row r="40" spans="1:22 16138:16382" x14ac:dyDescent="0.25">
      <c r="A40" s="38" t="s">
        <v>322</v>
      </c>
      <c r="B40" s="38" t="s">
        <v>495</v>
      </c>
      <c r="C40" s="39">
        <v>1192.5</v>
      </c>
      <c r="D40" s="39">
        <v>0</v>
      </c>
      <c r="E40" s="39">
        <v>0</v>
      </c>
      <c r="F40" s="40">
        <v>0</v>
      </c>
      <c r="G40" s="40">
        <v>0</v>
      </c>
      <c r="H40" s="39">
        <v>0</v>
      </c>
      <c r="I40" s="41">
        <v>0</v>
      </c>
      <c r="J40" s="41">
        <v>51</v>
      </c>
      <c r="K40" s="41">
        <v>192</v>
      </c>
      <c r="L40" s="41">
        <v>185</v>
      </c>
      <c r="M40" s="41">
        <v>1242</v>
      </c>
      <c r="N40" s="39">
        <f t="shared" si="0"/>
        <v>1192.5</v>
      </c>
      <c r="O40" s="42">
        <v>12</v>
      </c>
      <c r="P40" s="41">
        <f t="shared" si="1"/>
        <v>192</v>
      </c>
      <c r="Q40" s="43"/>
      <c r="R40" s="42"/>
      <c r="S40" s="42"/>
      <c r="U40" s="34" t="s">
        <v>498</v>
      </c>
      <c r="V40" s="34" t="s">
        <v>545</v>
      </c>
    </row>
    <row r="41" spans="1:22 16138:16382" x14ac:dyDescent="0.25">
      <c r="A41" s="38" t="s">
        <v>322</v>
      </c>
      <c r="B41" s="38" t="s">
        <v>496</v>
      </c>
      <c r="C41" s="39">
        <v>0</v>
      </c>
      <c r="D41" s="39">
        <v>0</v>
      </c>
      <c r="E41" s="39">
        <v>0</v>
      </c>
      <c r="F41" s="40">
        <v>0</v>
      </c>
      <c r="G41" s="40">
        <v>0</v>
      </c>
      <c r="H41" s="39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39">
        <f t="shared" si="0"/>
        <v>0</v>
      </c>
      <c r="O41" s="42"/>
      <c r="P41" s="41">
        <f t="shared" si="1"/>
        <v>0</v>
      </c>
      <c r="Q41" s="43"/>
      <c r="R41" s="42"/>
      <c r="S41" s="42"/>
      <c r="U41" s="45" t="s">
        <v>499</v>
      </c>
      <c r="V41" s="34" t="s">
        <v>546</v>
      </c>
      <c r="WVR41" s="34"/>
      <c r="WVS41" s="34"/>
      <c r="WVT41" s="34"/>
      <c r="WVU41" s="34"/>
      <c r="WVV41" s="34"/>
      <c r="WVW41" s="34"/>
      <c r="WVX41" s="34"/>
      <c r="WVY41" s="34"/>
      <c r="WVZ41" s="34"/>
      <c r="WWA41" s="34"/>
      <c r="WWB41" s="34"/>
      <c r="WWC41" s="34"/>
      <c r="WWD41" s="34"/>
      <c r="WWE41" s="34"/>
      <c r="WWF41" s="34"/>
      <c r="WWG41" s="34"/>
      <c r="WWH41" s="34"/>
      <c r="WWI41" s="34"/>
      <c r="WWJ41" s="34"/>
      <c r="WWK41" s="34"/>
      <c r="WWL41" s="34"/>
      <c r="WWM41" s="34"/>
      <c r="WWN41" s="34"/>
      <c r="WWO41" s="34"/>
      <c r="WWP41" s="34"/>
      <c r="WWQ41" s="34"/>
      <c r="WWR41" s="34"/>
      <c r="WWS41" s="34"/>
      <c r="WWT41" s="34"/>
      <c r="WWU41" s="34"/>
      <c r="WWV41" s="34"/>
      <c r="WWW41" s="34"/>
      <c r="WWX41" s="34"/>
      <c r="WWY41" s="34"/>
      <c r="WWZ41" s="34"/>
      <c r="WXA41" s="34"/>
      <c r="WXB41" s="34"/>
      <c r="WXC41" s="34"/>
      <c r="WXD41" s="34"/>
      <c r="WXE41" s="34"/>
      <c r="WXF41" s="34"/>
      <c r="WXG41" s="34"/>
      <c r="WXH41" s="34"/>
      <c r="WXI41" s="34"/>
      <c r="WXJ41" s="34"/>
      <c r="WXK41" s="34"/>
      <c r="WXL41" s="34"/>
      <c r="WXM41" s="34"/>
      <c r="WXN41" s="34"/>
      <c r="WXO41" s="34"/>
      <c r="WXP41" s="34"/>
      <c r="WXQ41" s="34"/>
      <c r="WXR41" s="34"/>
      <c r="WXS41" s="34"/>
      <c r="WXT41" s="34"/>
      <c r="WXU41" s="34"/>
      <c r="WXV41" s="34"/>
      <c r="WXW41" s="34"/>
      <c r="WXX41" s="34"/>
      <c r="WXY41" s="34"/>
      <c r="WXZ41" s="34"/>
      <c r="WYA41" s="34"/>
      <c r="WYB41" s="34"/>
      <c r="WYC41" s="34"/>
      <c r="WYD41" s="34"/>
      <c r="WYE41" s="34"/>
      <c r="WYF41" s="34"/>
      <c r="WYG41" s="34"/>
      <c r="WYH41" s="34"/>
      <c r="WYI41" s="34"/>
      <c r="WYJ41" s="34"/>
      <c r="WYK41" s="34"/>
      <c r="WYL41" s="34"/>
      <c r="WYM41" s="34"/>
      <c r="WYN41" s="34"/>
      <c r="WYO41" s="34"/>
      <c r="WYP41" s="34"/>
      <c r="WYQ41" s="34"/>
      <c r="WYR41" s="34"/>
      <c r="WYS41" s="34"/>
      <c r="WYT41" s="34"/>
      <c r="WYU41" s="34"/>
      <c r="WYV41" s="34"/>
      <c r="WYW41" s="34"/>
      <c r="WYX41" s="34"/>
      <c r="WYY41" s="34"/>
      <c r="WYZ41" s="34"/>
      <c r="WZA41" s="34"/>
      <c r="WZB41" s="34"/>
      <c r="WZC41" s="34"/>
      <c r="WZD41" s="34"/>
      <c r="WZE41" s="34"/>
      <c r="WZF41" s="34"/>
      <c r="WZG41" s="34"/>
      <c r="WZH41" s="34"/>
      <c r="WZI41" s="34"/>
      <c r="WZJ41" s="34"/>
      <c r="WZK41" s="34"/>
      <c r="WZL41" s="34"/>
      <c r="WZM41" s="34"/>
      <c r="WZN41" s="34"/>
      <c r="WZO41" s="34"/>
      <c r="WZP41" s="34"/>
      <c r="WZQ41" s="34"/>
      <c r="WZR41" s="34"/>
      <c r="WZS41" s="34"/>
      <c r="WZT41" s="34"/>
      <c r="WZU41" s="34"/>
      <c r="WZV41" s="34"/>
      <c r="WZW41" s="34"/>
      <c r="WZX41" s="34"/>
      <c r="WZY41" s="34"/>
      <c r="WZZ41" s="34"/>
      <c r="XAA41" s="34"/>
      <c r="XAB41" s="34"/>
      <c r="XAC41" s="34"/>
      <c r="XAD41" s="34"/>
      <c r="XAE41" s="34"/>
      <c r="XAF41" s="34"/>
      <c r="XAG41" s="34"/>
      <c r="XAH41" s="34"/>
      <c r="XAI41" s="34"/>
      <c r="XAJ41" s="34"/>
      <c r="XAK41" s="34"/>
      <c r="XAL41" s="34"/>
      <c r="XAM41" s="34"/>
      <c r="XAN41" s="34"/>
      <c r="XAO41" s="34"/>
      <c r="XAP41" s="34"/>
      <c r="XAQ41" s="34"/>
      <c r="XAR41" s="34"/>
      <c r="XAS41" s="34"/>
      <c r="XAT41" s="34"/>
      <c r="XAU41" s="34"/>
      <c r="XAV41" s="34"/>
      <c r="XAW41" s="34"/>
      <c r="XAX41" s="34"/>
      <c r="XAY41" s="34"/>
      <c r="XAZ41" s="34"/>
      <c r="XBA41" s="34"/>
      <c r="XBB41" s="34"/>
      <c r="XBC41" s="34"/>
      <c r="XBD41" s="34"/>
      <c r="XBE41" s="34"/>
      <c r="XBF41" s="34"/>
      <c r="XBG41" s="34"/>
      <c r="XBH41" s="34"/>
      <c r="XBI41" s="34"/>
      <c r="XBJ41" s="34"/>
      <c r="XBK41" s="34"/>
      <c r="XBL41" s="34"/>
      <c r="XBM41" s="34"/>
      <c r="XBN41" s="34"/>
      <c r="XBO41" s="34"/>
      <c r="XBP41" s="34"/>
      <c r="XBQ41" s="34"/>
      <c r="XBR41" s="34"/>
      <c r="XBS41" s="34"/>
      <c r="XBT41" s="34"/>
      <c r="XBU41" s="34"/>
      <c r="XBV41" s="34"/>
      <c r="XBW41" s="34"/>
      <c r="XBX41" s="34"/>
      <c r="XBY41" s="34"/>
      <c r="XBZ41" s="34"/>
      <c r="XCA41" s="34"/>
      <c r="XCB41" s="34"/>
      <c r="XCC41" s="34"/>
      <c r="XCD41" s="34"/>
      <c r="XCE41" s="34"/>
      <c r="XCF41" s="34"/>
      <c r="XCG41" s="34"/>
      <c r="XCH41" s="34"/>
      <c r="XCI41" s="34"/>
      <c r="XCJ41" s="34"/>
      <c r="XCK41" s="34"/>
      <c r="XCL41" s="34"/>
      <c r="XCM41" s="34"/>
      <c r="XCN41" s="34"/>
      <c r="XCO41" s="34"/>
      <c r="XCP41" s="34"/>
      <c r="XCQ41" s="34"/>
      <c r="XCR41" s="34"/>
      <c r="XCS41" s="34"/>
      <c r="XCT41" s="34"/>
      <c r="XCU41" s="34"/>
      <c r="XCV41" s="34"/>
      <c r="XCW41" s="34"/>
      <c r="XCX41" s="34"/>
      <c r="XCY41" s="34"/>
      <c r="XCZ41" s="34"/>
      <c r="XDA41" s="34"/>
      <c r="XDB41" s="34"/>
      <c r="XDC41" s="34"/>
      <c r="XDD41" s="34"/>
      <c r="XDE41" s="34"/>
      <c r="XDF41" s="34"/>
      <c r="XDG41" s="34"/>
      <c r="XDH41" s="34"/>
      <c r="XDI41" s="34"/>
      <c r="XDJ41" s="34"/>
      <c r="XDK41" s="34"/>
      <c r="XDL41" s="34"/>
      <c r="XDM41" s="34"/>
      <c r="XDN41" s="34"/>
      <c r="XDO41" s="34"/>
      <c r="XDP41" s="34"/>
      <c r="XDQ41" s="34"/>
      <c r="XDR41" s="34"/>
      <c r="XDS41" s="34"/>
      <c r="XDT41" s="34"/>
      <c r="XDU41" s="34"/>
      <c r="XDV41" s="34"/>
      <c r="XDW41" s="34"/>
      <c r="XDX41" s="34"/>
      <c r="XDY41" s="34"/>
      <c r="XDZ41" s="34"/>
      <c r="XEA41" s="34"/>
      <c r="XEB41" s="34"/>
      <c r="XEC41" s="34"/>
      <c r="XED41" s="34"/>
      <c r="XEE41" s="34"/>
      <c r="XEF41" s="34"/>
      <c r="XEG41" s="34"/>
      <c r="XEH41" s="34"/>
      <c r="XEI41" s="34"/>
      <c r="XEJ41" s="34"/>
      <c r="XEK41" s="34"/>
      <c r="XEL41" s="34"/>
      <c r="XEM41" s="34"/>
      <c r="XEN41" s="34"/>
      <c r="XEO41" s="34"/>
      <c r="XEP41" s="34"/>
      <c r="XEQ41" s="34"/>
      <c r="XER41" s="34"/>
      <c r="XES41" s="34"/>
      <c r="XET41" s="34"/>
      <c r="XEU41" s="34"/>
      <c r="XEV41" s="34"/>
      <c r="XEW41" s="34"/>
      <c r="XEX41" s="34"/>
      <c r="XEY41" s="34"/>
      <c r="XEZ41" s="34"/>
      <c r="XFA41" s="34"/>
      <c r="XFB41" s="34"/>
    </row>
    <row r="42" spans="1:22 16138:16382" x14ac:dyDescent="0.25">
      <c r="A42" s="38" t="s">
        <v>340</v>
      </c>
      <c r="B42" s="38" t="s">
        <v>497</v>
      </c>
      <c r="C42" s="39">
        <v>874</v>
      </c>
      <c r="D42" s="39">
        <v>72</v>
      </c>
      <c r="E42" s="39">
        <v>8</v>
      </c>
      <c r="F42" s="40">
        <v>0</v>
      </c>
      <c r="G42" s="40">
        <v>0</v>
      </c>
      <c r="H42" s="39">
        <v>0</v>
      </c>
      <c r="I42" s="41">
        <v>0</v>
      </c>
      <c r="J42" s="41">
        <v>110</v>
      </c>
      <c r="K42" s="41">
        <v>158</v>
      </c>
      <c r="L42" s="41">
        <v>627</v>
      </c>
      <c r="M42" s="41">
        <v>882</v>
      </c>
      <c r="N42" s="39">
        <f t="shared" si="0"/>
        <v>875.3</v>
      </c>
      <c r="O42" s="42">
        <v>7</v>
      </c>
      <c r="P42" s="41">
        <f t="shared" si="1"/>
        <v>158</v>
      </c>
      <c r="Q42" s="43"/>
      <c r="R42" s="42"/>
      <c r="S42" s="42"/>
      <c r="U42" s="37" t="s">
        <v>500</v>
      </c>
      <c r="V42" s="37" t="s">
        <v>547</v>
      </c>
      <c r="WVR42" s="34"/>
      <c r="WVS42" s="34"/>
      <c r="WVT42" s="34"/>
      <c r="WVU42" s="34"/>
      <c r="WVV42" s="34"/>
      <c r="WVW42" s="34"/>
      <c r="WVX42" s="34"/>
      <c r="WVY42" s="34"/>
      <c r="WVZ42" s="34"/>
      <c r="WWA42" s="34"/>
      <c r="WWB42" s="34"/>
      <c r="WWC42" s="34"/>
      <c r="WWD42" s="34"/>
      <c r="WWE42" s="34"/>
      <c r="WWF42" s="34"/>
      <c r="WWG42" s="34"/>
      <c r="WWH42" s="34"/>
      <c r="WWI42" s="34"/>
      <c r="WWJ42" s="34"/>
      <c r="WWK42" s="34"/>
      <c r="WWL42" s="34"/>
      <c r="WWM42" s="34"/>
      <c r="WWN42" s="34"/>
      <c r="WWO42" s="34"/>
      <c r="WWP42" s="34"/>
      <c r="WWQ42" s="34"/>
      <c r="WWR42" s="34"/>
      <c r="WWS42" s="34"/>
      <c r="WWT42" s="34"/>
      <c r="WWU42" s="34"/>
      <c r="WWV42" s="34"/>
      <c r="WWW42" s="34"/>
      <c r="WWX42" s="34"/>
      <c r="WWY42" s="34"/>
      <c r="WWZ42" s="34"/>
      <c r="WXA42" s="34"/>
      <c r="WXB42" s="34"/>
      <c r="WXC42" s="34"/>
      <c r="WXD42" s="34"/>
      <c r="WXE42" s="34"/>
      <c r="WXF42" s="34"/>
      <c r="WXG42" s="34"/>
      <c r="WXH42" s="34"/>
      <c r="WXI42" s="34"/>
      <c r="WXJ42" s="34"/>
      <c r="WXK42" s="34"/>
      <c r="WXL42" s="34"/>
      <c r="WXM42" s="34"/>
      <c r="WXN42" s="34"/>
      <c r="WXO42" s="34"/>
      <c r="WXP42" s="34"/>
      <c r="WXQ42" s="34"/>
      <c r="WXR42" s="34"/>
      <c r="WXS42" s="34"/>
      <c r="WXT42" s="34"/>
      <c r="WXU42" s="34"/>
      <c r="WXV42" s="34"/>
      <c r="WXW42" s="34"/>
      <c r="WXX42" s="34"/>
      <c r="WXY42" s="34"/>
      <c r="WXZ42" s="34"/>
      <c r="WYA42" s="34"/>
      <c r="WYB42" s="34"/>
      <c r="WYC42" s="34"/>
      <c r="WYD42" s="34"/>
      <c r="WYE42" s="34"/>
      <c r="WYF42" s="34"/>
      <c r="WYG42" s="34"/>
      <c r="WYH42" s="34"/>
      <c r="WYI42" s="34"/>
      <c r="WYJ42" s="34"/>
      <c r="WYK42" s="34"/>
      <c r="WYL42" s="34"/>
      <c r="WYM42" s="34"/>
      <c r="WYN42" s="34"/>
      <c r="WYO42" s="34"/>
      <c r="WYP42" s="34"/>
      <c r="WYQ42" s="34"/>
      <c r="WYR42" s="34"/>
      <c r="WYS42" s="34"/>
      <c r="WYT42" s="34"/>
      <c r="WYU42" s="34"/>
      <c r="WYV42" s="34"/>
      <c r="WYW42" s="34"/>
      <c r="WYX42" s="34"/>
      <c r="WYY42" s="34"/>
      <c r="WYZ42" s="34"/>
      <c r="WZA42" s="34"/>
      <c r="WZB42" s="34"/>
      <c r="WZC42" s="34"/>
      <c r="WZD42" s="34"/>
      <c r="WZE42" s="34"/>
      <c r="WZF42" s="34"/>
      <c r="WZG42" s="34"/>
      <c r="WZH42" s="34"/>
      <c r="WZI42" s="34"/>
      <c r="WZJ42" s="34"/>
      <c r="WZK42" s="34"/>
      <c r="WZL42" s="34"/>
      <c r="WZM42" s="34"/>
      <c r="WZN42" s="34"/>
      <c r="WZO42" s="34"/>
      <c r="WZP42" s="34"/>
      <c r="WZQ42" s="34"/>
      <c r="WZR42" s="34"/>
      <c r="WZS42" s="34"/>
      <c r="WZT42" s="34"/>
      <c r="WZU42" s="34"/>
      <c r="WZV42" s="34"/>
      <c r="WZW42" s="34"/>
      <c r="WZX42" s="34"/>
      <c r="WZY42" s="34"/>
      <c r="WZZ42" s="34"/>
      <c r="XAA42" s="34"/>
      <c r="XAB42" s="34"/>
      <c r="XAC42" s="34"/>
      <c r="XAD42" s="34"/>
      <c r="XAE42" s="34"/>
      <c r="XAF42" s="34"/>
      <c r="XAG42" s="34"/>
      <c r="XAH42" s="34"/>
      <c r="XAI42" s="34"/>
      <c r="XAJ42" s="34"/>
      <c r="XAK42" s="34"/>
      <c r="XAL42" s="34"/>
      <c r="XAM42" s="34"/>
      <c r="XAN42" s="34"/>
      <c r="XAO42" s="34"/>
      <c r="XAP42" s="34"/>
      <c r="XAQ42" s="34"/>
      <c r="XAR42" s="34"/>
      <c r="XAS42" s="34"/>
      <c r="XAT42" s="34"/>
      <c r="XAU42" s="34"/>
      <c r="XAV42" s="34"/>
      <c r="XAW42" s="34"/>
      <c r="XAX42" s="34"/>
      <c r="XAY42" s="34"/>
      <c r="XAZ42" s="34"/>
      <c r="XBA42" s="34"/>
      <c r="XBB42" s="34"/>
      <c r="XBC42" s="34"/>
      <c r="XBD42" s="34"/>
      <c r="XBE42" s="34"/>
      <c r="XBF42" s="34"/>
      <c r="XBG42" s="34"/>
      <c r="XBH42" s="34"/>
      <c r="XBI42" s="34"/>
      <c r="XBJ42" s="34"/>
      <c r="XBK42" s="34"/>
      <c r="XBL42" s="34"/>
      <c r="XBM42" s="34"/>
      <c r="XBN42" s="34"/>
      <c r="XBO42" s="34"/>
      <c r="XBP42" s="34"/>
      <c r="XBQ42" s="34"/>
      <c r="XBR42" s="34"/>
      <c r="XBS42" s="34"/>
      <c r="XBT42" s="34"/>
      <c r="XBU42" s="34"/>
      <c r="XBV42" s="34"/>
      <c r="XBW42" s="34"/>
      <c r="XBX42" s="34"/>
      <c r="XBY42" s="34"/>
      <c r="XBZ42" s="34"/>
      <c r="XCA42" s="34"/>
      <c r="XCB42" s="34"/>
      <c r="XCC42" s="34"/>
      <c r="XCD42" s="34"/>
      <c r="XCE42" s="34"/>
      <c r="XCF42" s="34"/>
      <c r="XCG42" s="34"/>
      <c r="XCH42" s="34"/>
      <c r="XCI42" s="34"/>
      <c r="XCJ42" s="34"/>
      <c r="XCK42" s="34"/>
      <c r="XCL42" s="34"/>
      <c r="XCM42" s="34"/>
      <c r="XCN42" s="34"/>
      <c r="XCO42" s="34"/>
      <c r="XCP42" s="34"/>
      <c r="XCQ42" s="34"/>
      <c r="XCR42" s="34"/>
      <c r="XCS42" s="34"/>
      <c r="XCT42" s="34"/>
      <c r="XCU42" s="34"/>
      <c r="XCV42" s="34"/>
      <c r="XCW42" s="34"/>
      <c r="XCX42" s="34"/>
      <c r="XCY42" s="34"/>
      <c r="XCZ42" s="34"/>
      <c r="XDA42" s="34"/>
      <c r="XDB42" s="34"/>
      <c r="XDC42" s="34"/>
      <c r="XDD42" s="34"/>
      <c r="XDE42" s="34"/>
      <c r="XDF42" s="34"/>
      <c r="XDG42" s="34"/>
      <c r="XDH42" s="34"/>
      <c r="XDI42" s="34"/>
      <c r="XDJ42" s="34"/>
      <c r="XDK42" s="34"/>
      <c r="XDL42" s="34"/>
      <c r="XDM42" s="34"/>
      <c r="XDN42" s="34"/>
      <c r="XDO42" s="34"/>
      <c r="XDP42" s="34"/>
      <c r="XDQ42" s="34"/>
      <c r="XDR42" s="34"/>
      <c r="XDS42" s="34"/>
      <c r="XDT42" s="34"/>
      <c r="XDU42" s="34"/>
      <c r="XDV42" s="34"/>
      <c r="XDW42" s="34"/>
      <c r="XDX42" s="34"/>
      <c r="XDY42" s="34"/>
      <c r="XDZ42" s="34"/>
      <c r="XEA42" s="34"/>
      <c r="XEB42" s="34"/>
      <c r="XEC42" s="34"/>
      <c r="XED42" s="34"/>
      <c r="XEE42" s="34"/>
      <c r="XEF42" s="34"/>
      <c r="XEG42" s="34"/>
      <c r="XEH42" s="34"/>
      <c r="XEI42" s="34"/>
      <c r="XEJ42" s="34"/>
      <c r="XEK42" s="34"/>
      <c r="XEL42" s="34"/>
      <c r="XEM42" s="34"/>
      <c r="XEN42" s="34"/>
      <c r="XEO42" s="34"/>
      <c r="XEP42" s="34"/>
      <c r="XEQ42" s="34"/>
      <c r="XER42" s="34"/>
      <c r="XES42" s="34"/>
      <c r="XET42" s="34"/>
      <c r="XEU42" s="34"/>
      <c r="XEV42" s="34"/>
      <c r="XEW42" s="34"/>
      <c r="XEX42" s="34"/>
      <c r="XEY42" s="34"/>
      <c r="XEZ42" s="34"/>
      <c r="XFA42" s="34"/>
      <c r="XFB42" s="34"/>
    </row>
    <row r="43" spans="1:22 16138:16382" x14ac:dyDescent="0.25">
      <c r="A43" s="38" t="s">
        <v>340</v>
      </c>
      <c r="B43" s="38" t="s">
        <v>498</v>
      </c>
      <c r="C43" s="39">
        <v>46</v>
      </c>
      <c r="D43" s="39">
        <v>18</v>
      </c>
      <c r="E43" s="39">
        <v>0</v>
      </c>
      <c r="F43" s="40">
        <v>0</v>
      </c>
      <c r="G43" s="40">
        <v>15</v>
      </c>
      <c r="H43" s="39">
        <v>0</v>
      </c>
      <c r="I43" s="41">
        <v>0</v>
      </c>
      <c r="J43" s="41">
        <v>6</v>
      </c>
      <c r="K43" s="41">
        <v>10</v>
      </c>
      <c r="L43" s="41">
        <v>28</v>
      </c>
      <c r="M43" s="41">
        <v>46</v>
      </c>
      <c r="N43" s="39">
        <f t="shared" si="0"/>
        <v>61</v>
      </c>
      <c r="O43" s="42"/>
      <c r="P43" s="41">
        <f t="shared" si="1"/>
        <v>10</v>
      </c>
      <c r="Q43" s="43"/>
      <c r="R43" s="42"/>
      <c r="S43" s="42"/>
      <c r="WVR43" s="34"/>
      <c r="WVS43" s="34"/>
      <c r="WVT43" s="34"/>
      <c r="WVU43" s="34"/>
      <c r="WVV43" s="34"/>
      <c r="WVW43" s="34"/>
      <c r="WVX43" s="34"/>
      <c r="WVY43" s="34"/>
      <c r="WVZ43" s="34"/>
      <c r="WWA43" s="34"/>
      <c r="WWB43" s="34"/>
      <c r="WWC43" s="34"/>
      <c r="WWD43" s="34"/>
      <c r="WWE43" s="34"/>
      <c r="WWF43" s="34"/>
      <c r="WWG43" s="34"/>
      <c r="WWH43" s="34"/>
      <c r="WWI43" s="34"/>
      <c r="WWJ43" s="34"/>
      <c r="WWK43" s="34"/>
      <c r="WWL43" s="34"/>
      <c r="WWM43" s="34"/>
      <c r="WWN43" s="34"/>
      <c r="WWO43" s="34"/>
      <c r="WWP43" s="34"/>
      <c r="WWQ43" s="34"/>
      <c r="WWR43" s="34"/>
      <c r="WWS43" s="34"/>
      <c r="WWT43" s="34"/>
      <c r="WWU43" s="34"/>
      <c r="WWV43" s="34"/>
      <c r="WWW43" s="34"/>
      <c r="WWX43" s="34"/>
      <c r="WWY43" s="34"/>
      <c r="WWZ43" s="34"/>
      <c r="WXA43" s="34"/>
      <c r="WXB43" s="34"/>
      <c r="WXC43" s="34"/>
      <c r="WXD43" s="34"/>
      <c r="WXE43" s="34"/>
      <c r="WXF43" s="34"/>
      <c r="WXG43" s="34"/>
      <c r="WXH43" s="34"/>
      <c r="WXI43" s="34"/>
      <c r="WXJ43" s="34"/>
      <c r="WXK43" s="34"/>
      <c r="WXL43" s="34"/>
      <c r="WXM43" s="34"/>
      <c r="WXN43" s="34"/>
      <c r="WXO43" s="34"/>
      <c r="WXP43" s="34"/>
      <c r="WXQ43" s="34"/>
      <c r="WXR43" s="34"/>
      <c r="WXS43" s="34"/>
      <c r="WXT43" s="34"/>
      <c r="WXU43" s="34"/>
      <c r="WXV43" s="34"/>
      <c r="WXW43" s="34"/>
      <c r="WXX43" s="34"/>
      <c r="WXY43" s="34"/>
      <c r="WXZ43" s="34"/>
      <c r="WYA43" s="34"/>
      <c r="WYB43" s="34"/>
      <c r="WYC43" s="34"/>
      <c r="WYD43" s="34"/>
      <c r="WYE43" s="34"/>
      <c r="WYF43" s="34"/>
      <c r="WYG43" s="34"/>
      <c r="WYH43" s="34"/>
      <c r="WYI43" s="34"/>
      <c r="WYJ43" s="34"/>
      <c r="WYK43" s="34"/>
      <c r="WYL43" s="34"/>
      <c r="WYM43" s="34"/>
      <c r="WYN43" s="34"/>
      <c r="WYO43" s="34"/>
      <c r="WYP43" s="34"/>
      <c r="WYQ43" s="34"/>
      <c r="WYR43" s="34"/>
      <c r="WYS43" s="34"/>
      <c r="WYT43" s="34"/>
      <c r="WYU43" s="34"/>
      <c r="WYV43" s="34"/>
      <c r="WYW43" s="34"/>
      <c r="WYX43" s="34"/>
      <c r="WYY43" s="34"/>
      <c r="WYZ43" s="34"/>
      <c r="WZA43" s="34"/>
      <c r="WZB43" s="34"/>
      <c r="WZC43" s="34"/>
      <c r="WZD43" s="34"/>
      <c r="WZE43" s="34"/>
      <c r="WZF43" s="34"/>
      <c r="WZG43" s="34"/>
      <c r="WZH43" s="34"/>
      <c r="WZI43" s="34"/>
      <c r="WZJ43" s="34"/>
      <c r="WZK43" s="34"/>
      <c r="WZL43" s="34"/>
      <c r="WZM43" s="34"/>
      <c r="WZN43" s="34"/>
      <c r="WZO43" s="34"/>
      <c r="WZP43" s="34"/>
      <c r="WZQ43" s="34"/>
      <c r="WZR43" s="34"/>
      <c r="WZS43" s="34"/>
      <c r="WZT43" s="34"/>
      <c r="WZU43" s="34"/>
      <c r="WZV43" s="34"/>
      <c r="WZW43" s="34"/>
      <c r="WZX43" s="34"/>
      <c r="WZY43" s="34"/>
      <c r="WZZ43" s="34"/>
      <c r="XAA43" s="34"/>
      <c r="XAB43" s="34"/>
      <c r="XAC43" s="34"/>
      <c r="XAD43" s="34"/>
      <c r="XAE43" s="34"/>
      <c r="XAF43" s="34"/>
      <c r="XAG43" s="34"/>
      <c r="XAH43" s="34"/>
      <c r="XAI43" s="34"/>
      <c r="XAJ43" s="34"/>
      <c r="XAK43" s="34"/>
      <c r="XAL43" s="34"/>
      <c r="XAM43" s="34"/>
      <c r="XAN43" s="34"/>
      <c r="XAO43" s="34"/>
      <c r="XAP43" s="34"/>
      <c r="XAQ43" s="34"/>
      <c r="XAR43" s="34"/>
      <c r="XAS43" s="34"/>
      <c r="XAT43" s="34"/>
      <c r="XAU43" s="34"/>
      <c r="XAV43" s="34"/>
      <c r="XAW43" s="34"/>
      <c r="XAX43" s="34"/>
      <c r="XAY43" s="34"/>
      <c r="XAZ43" s="34"/>
      <c r="XBA43" s="34"/>
      <c r="XBB43" s="34"/>
      <c r="XBC43" s="34"/>
      <c r="XBD43" s="34"/>
      <c r="XBE43" s="34"/>
      <c r="XBF43" s="34"/>
      <c r="XBG43" s="34"/>
      <c r="XBH43" s="34"/>
      <c r="XBI43" s="34"/>
      <c r="XBJ43" s="34"/>
      <c r="XBK43" s="34"/>
      <c r="XBL43" s="34"/>
      <c r="XBM43" s="34"/>
      <c r="XBN43" s="34"/>
      <c r="XBO43" s="34"/>
      <c r="XBP43" s="34"/>
      <c r="XBQ43" s="34"/>
      <c r="XBR43" s="34"/>
      <c r="XBS43" s="34"/>
      <c r="XBT43" s="34"/>
      <c r="XBU43" s="34"/>
      <c r="XBV43" s="34"/>
      <c r="XBW43" s="34"/>
      <c r="XBX43" s="34"/>
      <c r="XBY43" s="34"/>
      <c r="XBZ43" s="34"/>
      <c r="XCA43" s="34"/>
      <c r="XCB43" s="34"/>
      <c r="XCC43" s="34"/>
      <c r="XCD43" s="34"/>
      <c r="XCE43" s="34"/>
      <c r="XCF43" s="34"/>
      <c r="XCG43" s="34"/>
      <c r="XCH43" s="34"/>
      <c r="XCI43" s="34"/>
      <c r="XCJ43" s="34"/>
      <c r="XCK43" s="34"/>
      <c r="XCL43" s="34"/>
      <c r="XCM43" s="34"/>
      <c r="XCN43" s="34"/>
      <c r="XCO43" s="34"/>
      <c r="XCP43" s="34"/>
      <c r="XCQ43" s="34"/>
      <c r="XCR43" s="34"/>
      <c r="XCS43" s="34"/>
      <c r="XCT43" s="34"/>
      <c r="XCU43" s="34"/>
      <c r="XCV43" s="34"/>
      <c r="XCW43" s="34"/>
      <c r="XCX43" s="34"/>
      <c r="XCY43" s="34"/>
      <c r="XCZ43" s="34"/>
      <c r="XDA43" s="34"/>
      <c r="XDB43" s="34"/>
      <c r="XDC43" s="34"/>
      <c r="XDD43" s="34"/>
      <c r="XDE43" s="34"/>
      <c r="XDF43" s="34"/>
      <c r="XDG43" s="34"/>
      <c r="XDH43" s="34"/>
      <c r="XDI43" s="34"/>
      <c r="XDJ43" s="34"/>
      <c r="XDK43" s="34"/>
      <c r="XDL43" s="34"/>
      <c r="XDM43" s="34"/>
      <c r="XDN43" s="34"/>
      <c r="XDO43" s="34"/>
      <c r="XDP43" s="34"/>
      <c r="XDQ43" s="34"/>
      <c r="XDR43" s="34"/>
      <c r="XDS43" s="34"/>
      <c r="XDT43" s="34"/>
      <c r="XDU43" s="34"/>
      <c r="XDV43" s="34"/>
      <c r="XDW43" s="34"/>
      <c r="XDX43" s="34"/>
      <c r="XDY43" s="34"/>
      <c r="XDZ43" s="34"/>
      <c r="XEA43" s="34"/>
      <c r="XEB43" s="34"/>
      <c r="XEC43" s="34"/>
      <c r="XED43" s="34"/>
      <c r="XEE43" s="34"/>
      <c r="XEF43" s="34"/>
      <c r="XEG43" s="34"/>
      <c r="XEH43" s="34"/>
      <c r="XEI43" s="34"/>
      <c r="XEJ43" s="34"/>
      <c r="XEK43" s="34"/>
      <c r="XEL43" s="34"/>
      <c r="XEM43" s="34"/>
      <c r="XEN43" s="34"/>
      <c r="XEO43" s="34"/>
      <c r="XEP43" s="34"/>
      <c r="XEQ43" s="34"/>
      <c r="XER43" s="34"/>
      <c r="XES43" s="34"/>
      <c r="XET43" s="34"/>
      <c r="XEU43" s="34"/>
      <c r="XEV43" s="34"/>
      <c r="XEW43" s="34"/>
      <c r="XEX43" s="34"/>
      <c r="XEY43" s="34"/>
      <c r="XEZ43" s="34"/>
      <c r="XFA43" s="34"/>
      <c r="XFB43" s="34"/>
    </row>
    <row r="44" spans="1:22 16138:16382" x14ac:dyDescent="0.25">
      <c r="A44" s="38" t="s">
        <v>343</v>
      </c>
      <c r="B44" s="38" t="s">
        <v>499</v>
      </c>
      <c r="C44" s="39">
        <v>27</v>
      </c>
      <c r="D44" s="39">
        <v>14</v>
      </c>
      <c r="E44" s="39">
        <v>0</v>
      </c>
      <c r="F44" s="40">
        <v>0</v>
      </c>
      <c r="G44" s="40">
        <v>0</v>
      </c>
      <c r="H44" s="39">
        <v>0</v>
      </c>
      <c r="I44" s="41">
        <v>0</v>
      </c>
      <c r="J44" s="41">
        <v>13</v>
      </c>
      <c r="K44" s="41">
        <v>26</v>
      </c>
      <c r="L44" s="41">
        <v>13</v>
      </c>
      <c r="M44" s="41">
        <v>27</v>
      </c>
      <c r="N44" s="39">
        <f t="shared" si="0"/>
        <v>27</v>
      </c>
      <c r="O44" s="42"/>
      <c r="P44" s="41">
        <f t="shared" si="1"/>
        <v>26</v>
      </c>
      <c r="Q44" s="43"/>
      <c r="R44" s="42"/>
      <c r="S44" s="42"/>
      <c r="WVR44" s="34"/>
      <c r="WVS44" s="34"/>
      <c r="WVT44" s="34"/>
      <c r="WVU44" s="34"/>
      <c r="WVV44" s="34"/>
      <c r="WVW44" s="34"/>
      <c r="WVX44" s="34"/>
      <c r="WVY44" s="34"/>
      <c r="WVZ44" s="34"/>
      <c r="WWA44" s="34"/>
      <c r="WWB44" s="34"/>
      <c r="WWC44" s="34"/>
      <c r="WWD44" s="34"/>
      <c r="WWE44" s="34"/>
      <c r="WWF44" s="34"/>
      <c r="WWG44" s="34"/>
      <c r="WWH44" s="34"/>
      <c r="WWI44" s="34"/>
      <c r="WWJ44" s="34"/>
      <c r="WWK44" s="34"/>
      <c r="WWL44" s="34"/>
      <c r="WWM44" s="34"/>
      <c r="WWN44" s="34"/>
      <c r="WWO44" s="34"/>
      <c r="WWP44" s="34"/>
      <c r="WWQ44" s="34"/>
      <c r="WWR44" s="34"/>
      <c r="WWS44" s="34"/>
      <c r="WWT44" s="34"/>
      <c r="WWU44" s="34"/>
      <c r="WWV44" s="34"/>
      <c r="WWW44" s="34"/>
      <c r="WWX44" s="34"/>
      <c r="WWY44" s="34"/>
      <c r="WWZ44" s="34"/>
      <c r="WXA44" s="34"/>
      <c r="WXB44" s="34"/>
      <c r="WXC44" s="34"/>
      <c r="WXD44" s="34"/>
      <c r="WXE44" s="34"/>
      <c r="WXF44" s="34"/>
      <c r="WXG44" s="34"/>
      <c r="WXH44" s="34"/>
      <c r="WXI44" s="34"/>
      <c r="WXJ44" s="34"/>
      <c r="WXK44" s="34"/>
      <c r="WXL44" s="34"/>
      <c r="WXM44" s="34"/>
      <c r="WXN44" s="34"/>
      <c r="WXO44" s="34"/>
      <c r="WXP44" s="34"/>
      <c r="WXQ44" s="34"/>
      <c r="WXR44" s="34"/>
      <c r="WXS44" s="34"/>
      <c r="WXT44" s="34"/>
      <c r="WXU44" s="34"/>
      <c r="WXV44" s="34"/>
      <c r="WXW44" s="34"/>
      <c r="WXX44" s="34"/>
      <c r="WXY44" s="34"/>
      <c r="WXZ44" s="34"/>
      <c r="WYA44" s="34"/>
      <c r="WYB44" s="34"/>
      <c r="WYC44" s="34"/>
      <c r="WYD44" s="34"/>
      <c r="WYE44" s="34"/>
      <c r="WYF44" s="34"/>
      <c r="WYG44" s="34"/>
      <c r="WYH44" s="34"/>
      <c r="WYI44" s="34"/>
      <c r="WYJ44" s="34"/>
      <c r="WYK44" s="34"/>
      <c r="WYL44" s="34"/>
      <c r="WYM44" s="34"/>
      <c r="WYN44" s="34"/>
      <c r="WYO44" s="34"/>
      <c r="WYP44" s="34"/>
      <c r="WYQ44" s="34"/>
      <c r="WYR44" s="34"/>
      <c r="WYS44" s="34"/>
      <c r="WYT44" s="34"/>
      <c r="WYU44" s="34"/>
      <c r="WYV44" s="34"/>
      <c r="WYW44" s="34"/>
      <c r="WYX44" s="34"/>
      <c r="WYY44" s="34"/>
      <c r="WYZ44" s="34"/>
      <c r="WZA44" s="34"/>
      <c r="WZB44" s="34"/>
      <c r="WZC44" s="34"/>
      <c r="WZD44" s="34"/>
      <c r="WZE44" s="34"/>
      <c r="WZF44" s="34"/>
      <c r="WZG44" s="34"/>
      <c r="WZH44" s="34"/>
      <c r="WZI44" s="34"/>
      <c r="WZJ44" s="34"/>
      <c r="WZK44" s="34"/>
      <c r="WZL44" s="34"/>
      <c r="WZM44" s="34"/>
      <c r="WZN44" s="34"/>
      <c r="WZO44" s="34"/>
      <c r="WZP44" s="34"/>
      <c r="WZQ44" s="34"/>
      <c r="WZR44" s="34"/>
      <c r="WZS44" s="34"/>
      <c r="WZT44" s="34"/>
      <c r="WZU44" s="34"/>
      <c r="WZV44" s="34"/>
      <c r="WZW44" s="34"/>
      <c r="WZX44" s="34"/>
      <c r="WZY44" s="34"/>
      <c r="WZZ44" s="34"/>
      <c r="XAA44" s="34"/>
      <c r="XAB44" s="34"/>
      <c r="XAC44" s="34"/>
      <c r="XAD44" s="34"/>
      <c r="XAE44" s="34"/>
      <c r="XAF44" s="34"/>
      <c r="XAG44" s="34"/>
      <c r="XAH44" s="34"/>
      <c r="XAI44" s="34"/>
      <c r="XAJ44" s="34"/>
      <c r="XAK44" s="34"/>
      <c r="XAL44" s="34"/>
      <c r="XAM44" s="34"/>
      <c r="XAN44" s="34"/>
      <c r="XAO44" s="34"/>
      <c r="XAP44" s="34"/>
      <c r="XAQ44" s="34"/>
      <c r="XAR44" s="34"/>
      <c r="XAS44" s="34"/>
      <c r="XAT44" s="34"/>
      <c r="XAU44" s="34"/>
      <c r="XAV44" s="34"/>
      <c r="XAW44" s="34"/>
      <c r="XAX44" s="34"/>
      <c r="XAY44" s="34"/>
      <c r="XAZ44" s="34"/>
      <c r="XBA44" s="34"/>
      <c r="XBB44" s="34"/>
      <c r="XBC44" s="34"/>
      <c r="XBD44" s="34"/>
      <c r="XBE44" s="34"/>
      <c r="XBF44" s="34"/>
      <c r="XBG44" s="34"/>
      <c r="XBH44" s="34"/>
      <c r="XBI44" s="34"/>
      <c r="XBJ44" s="34"/>
      <c r="XBK44" s="34"/>
      <c r="XBL44" s="34"/>
      <c r="XBM44" s="34"/>
      <c r="XBN44" s="34"/>
      <c r="XBO44" s="34"/>
      <c r="XBP44" s="34"/>
      <c r="XBQ44" s="34"/>
      <c r="XBR44" s="34"/>
      <c r="XBS44" s="34"/>
      <c r="XBT44" s="34"/>
      <c r="XBU44" s="34"/>
      <c r="XBV44" s="34"/>
      <c r="XBW44" s="34"/>
      <c r="XBX44" s="34"/>
      <c r="XBY44" s="34"/>
      <c r="XBZ44" s="34"/>
      <c r="XCA44" s="34"/>
      <c r="XCB44" s="34"/>
      <c r="XCC44" s="34"/>
      <c r="XCD44" s="34"/>
      <c r="XCE44" s="34"/>
      <c r="XCF44" s="34"/>
      <c r="XCG44" s="34"/>
      <c r="XCH44" s="34"/>
      <c r="XCI44" s="34"/>
      <c r="XCJ44" s="34"/>
      <c r="XCK44" s="34"/>
      <c r="XCL44" s="34"/>
      <c r="XCM44" s="34"/>
      <c r="XCN44" s="34"/>
      <c r="XCO44" s="34"/>
      <c r="XCP44" s="34"/>
      <c r="XCQ44" s="34"/>
      <c r="XCR44" s="34"/>
      <c r="XCS44" s="34"/>
      <c r="XCT44" s="34"/>
      <c r="XCU44" s="34"/>
      <c r="XCV44" s="34"/>
      <c r="XCW44" s="34"/>
      <c r="XCX44" s="34"/>
      <c r="XCY44" s="34"/>
      <c r="XCZ44" s="34"/>
      <c r="XDA44" s="34"/>
      <c r="XDB44" s="34"/>
      <c r="XDC44" s="34"/>
      <c r="XDD44" s="34"/>
      <c r="XDE44" s="34"/>
      <c r="XDF44" s="34"/>
      <c r="XDG44" s="34"/>
      <c r="XDH44" s="34"/>
      <c r="XDI44" s="34"/>
      <c r="XDJ44" s="34"/>
      <c r="XDK44" s="34"/>
      <c r="XDL44" s="34"/>
      <c r="XDM44" s="34"/>
      <c r="XDN44" s="34"/>
      <c r="XDO44" s="34"/>
      <c r="XDP44" s="34"/>
      <c r="XDQ44" s="34"/>
      <c r="XDR44" s="34"/>
      <c r="XDS44" s="34"/>
      <c r="XDT44" s="34"/>
      <c r="XDU44" s="34"/>
      <c r="XDV44" s="34"/>
      <c r="XDW44" s="34"/>
      <c r="XDX44" s="34"/>
      <c r="XDY44" s="34"/>
      <c r="XDZ44" s="34"/>
      <c r="XEA44" s="34"/>
      <c r="XEB44" s="34"/>
      <c r="XEC44" s="34"/>
      <c r="XED44" s="34"/>
      <c r="XEE44" s="34"/>
      <c r="XEF44" s="34"/>
      <c r="XEG44" s="34"/>
      <c r="XEH44" s="34"/>
      <c r="XEI44" s="34"/>
      <c r="XEJ44" s="34"/>
      <c r="XEK44" s="34"/>
      <c r="XEL44" s="34"/>
      <c r="XEM44" s="34"/>
      <c r="XEN44" s="34"/>
      <c r="XEO44" s="34"/>
      <c r="XEP44" s="34"/>
      <c r="XEQ44" s="34"/>
      <c r="XER44" s="34"/>
      <c r="XES44" s="34"/>
      <c r="XET44" s="34"/>
      <c r="XEU44" s="34"/>
      <c r="XEV44" s="34"/>
      <c r="XEW44" s="34"/>
      <c r="XEX44" s="34"/>
      <c r="XEY44" s="34"/>
      <c r="XEZ44" s="34"/>
      <c r="XFA44" s="34"/>
      <c r="XFB44" s="34"/>
    </row>
    <row r="45" spans="1:22 16138:16382" x14ac:dyDescent="0.25">
      <c r="A45" s="38" t="s">
        <v>377</v>
      </c>
      <c r="B45" s="38" t="s">
        <v>500</v>
      </c>
      <c r="C45" s="39">
        <v>127</v>
      </c>
      <c r="D45" s="39">
        <v>24</v>
      </c>
      <c r="E45" s="39">
        <v>0</v>
      </c>
      <c r="F45" s="40">
        <v>0</v>
      </c>
      <c r="G45" s="40">
        <v>0</v>
      </c>
      <c r="H45" s="39">
        <v>0</v>
      </c>
      <c r="I45" s="41">
        <v>0</v>
      </c>
      <c r="J45" s="41">
        <v>3</v>
      </c>
      <c r="K45" s="41">
        <v>3</v>
      </c>
      <c r="L45" s="41">
        <v>103</v>
      </c>
      <c r="M45" s="41">
        <v>127</v>
      </c>
      <c r="N45" s="39">
        <f t="shared" si="0"/>
        <v>127</v>
      </c>
      <c r="O45" s="42"/>
      <c r="P45" s="41">
        <f t="shared" si="1"/>
        <v>3</v>
      </c>
      <c r="Q45" s="43"/>
      <c r="R45" s="42"/>
      <c r="S45" s="42"/>
      <c r="WVR45" s="34"/>
      <c r="WVS45" s="34"/>
      <c r="WVT45" s="34"/>
      <c r="WVU45" s="34"/>
      <c r="WVV45" s="34"/>
      <c r="WVW45" s="34"/>
      <c r="WVX45" s="34"/>
      <c r="WVY45" s="34"/>
      <c r="WVZ45" s="34"/>
      <c r="WWA45" s="34"/>
      <c r="WWB45" s="34"/>
      <c r="WWC45" s="34"/>
      <c r="WWD45" s="34"/>
      <c r="WWE45" s="34"/>
      <c r="WWF45" s="34"/>
      <c r="WWG45" s="34"/>
      <c r="WWH45" s="34"/>
      <c r="WWI45" s="34"/>
      <c r="WWJ45" s="34"/>
      <c r="WWK45" s="34"/>
      <c r="WWL45" s="34"/>
      <c r="WWM45" s="34"/>
      <c r="WWN45" s="34"/>
      <c r="WWO45" s="34"/>
      <c r="WWP45" s="34"/>
      <c r="WWQ45" s="34"/>
      <c r="WWR45" s="34"/>
      <c r="WWS45" s="34"/>
      <c r="WWT45" s="34"/>
      <c r="WWU45" s="34"/>
      <c r="WWV45" s="34"/>
      <c r="WWW45" s="34"/>
      <c r="WWX45" s="34"/>
      <c r="WWY45" s="34"/>
      <c r="WWZ45" s="34"/>
      <c r="WXA45" s="34"/>
      <c r="WXB45" s="34"/>
      <c r="WXC45" s="34"/>
      <c r="WXD45" s="34"/>
      <c r="WXE45" s="34"/>
      <c r="WXF45" s="34"/>
      <c r="WXG45" s="34"/>
      <c r="WXH45" s="34"/>
      <c r="WXI45" s="34"/>
      <c r="WXJ45" s="34"/>
      <c r="WXK45" s="34"/>
      <c r="WXL45" s="34"/>
      <c r="WXM45" s="34"/>
      <c r="WXN45" s="34"/>
      <c r="WXO45" s="34"/>
      <c r="WXP45" s="34"/>
      <c r="WXQ45" s="34"/>
      <c r="WXR45" s="34"/>
      <c r="WXS45" s="34"/>
      <c r="WXT45" s="34"/>
      <c r="WXU45" s="34"/>
      <c r="WXV45" s="34"/>
      <c r="WXW45" s="34"/>
      <c r="WXX45" s="34"/>
      <c r="WXY45" s="34"/>
      <c r="WXZ45" s="34"/>
      <c r="WYA45" s="34"/>
      <c r="WYB45" s="34"/>
      <c r="WYC45" s="34"/>
      <c r="WYD45" s="34"/>
      <c r="WYE45" s="34"/>
      <c r="WYF45" s="34"/>
      <c r="WYG45" s="34"/>
      <c r="WYH45" s="34"/>
      <c r="WYI45" s="34"/>
      <c r="WYJ45" s="34"/>
      <c r="WYK45" s="34"/>
      <c r="WYL45" s="34"/>
      <c r="WYM45" s="34"/>
      <c r="WYN45" s="34"/>
      <c r="WYO45" s="34"/>
      <c r="WYP45" s="34"/>
      <c r="WYQ45" s="34"/>
      <c r="WYR45" s="34"/>
      <c r="WYS45" s="34"/>
      <c r="WYT45" s="34"/>
      <c r="WYU45" s="34"/>
      <c r="WYV45" s="34"/>
      <c r="WYW45" s="34"/>
      <c r="WYX45" s="34"/>
      <c r="WYY45" s="34"/>
      <c r="WYZ45" s="34"/>
      <c r="WZA45" s="34"/>
      <c r="WZB45" s="34"/>
      <c r="WZC45" s="34"/>
      <c r="WZD45" s="34"/>
      <c r="WZE45" s="34"/>
      <c r="WZF45" s="34"/>
      <c r="WZG45" s="34"/>
      <c r="WZH45" s="34"/>
      <c r="WZI45" s="34"/>
      <c r="WZJ45" s="34"/>
      <c r="WZK45" s="34"/>
      <c r="WZL45" s="34"/>
      <c r="WZM45" s="34"/>
      <c r="WZN45" s="34"/>
      <c r="WZO45" s="34"/>
      <c r="WZP45" s="34"/>
      <c r="WZQ45" s="34"/>
      <c r="WZR45" s="34"/>
      <c r="WZS45" s="34"/>
      <c r="WZT45" s="34"/>
      <c r="WZU45" s="34"/>
      <c r="WZV45" s="34"/>
      <c r="WZW45" s="34"/>
      <c r="WZX45" s="34"/>
      <c r="WZY45" s="34"/>
      <c r="WZZ45" s="34"/>
      <c r="XAA45" s="34"/>
      <c r="XAB45" s="34"/>
      <c r="XAC45" s="34"/>
      <c r="XAD45" s="34"/>
      <c r="XAE45" s="34"/>
      <c r="XAF45" s="34"/>
      <c r="XAG45" s="34"/>
      <c r="XAH45" s="34"/>
      <c r="XAI45" s="34"/>
      <c r="XAJ45" s="34"/>
      <c r="XAK45" s="34"/>
      <c r="XAL45" s="34"/>
      <c r="XAM45" s="34"/>
      <c r="XAN45" s="34"/>
      <c r="XAO45" s="34"/>
      <c r="XAP45" s="34"/>
      <c r="XAQ45" s="34"/>
      <c r="XAR45" s="34"/>
      <c r="XAS45" s="34"/>
      <c r="XAT45" s="34"/>
      <c r="XAU45" s="34"/>
      <c r="XAV45" s="34"/>
      <c r="XAW45" s="34"/>
      <c r="XAX45" s="34"/>
      <c r="XAY45" s="34"/>
      <c r="XAZ45" s="34"/>
      <c r="XBA45" s="34"/>
      <c r="XBB45" s="34"/>
      <c r="XBC45" s="34"/>
      <c r="XBD45" s="34"/>
      <c r="XBE45" s="34"/>
      <c r="XBF45" s="34"/>
      <c r="XBG45" s="34"/>
      <c r="XBH45" s="34"/>
      <c r="XBI45" s="34"/>
      <c r="XBJ45" s="34"/>
      <c r="XBK45" s="34"/>
      <c r="XBL45" s="34"/>
      <c r="XBM45" s="34"/>
      <c r="XBN45" s="34"/>
      <c r="XBO45" s="34"/>
      <c r="XBP45" s="34"/>
      <c r="XBQ45" s="34"/>
      <c r="XBR45" s="34"/>
      <c r="XBS45" s="34"/>
      <c r="XBT45" s="34"/>
      <c r="XBU45" s="34"/>
      <c r="XBV45" s="34"/>
      <c r="XBW45" s="34"/>
      <c r="XBX45" s="34"/>
      <c r="XBY45" s="34"/>
      <c r="XBZ45" s="34"/>
      <c r="XCA45" s="34"/>
      <c r="XCB45" s="34"/>
      <c r="XCC45" s="34"/>
      <c r="XCD45" s="34"/>
      <c r="XCE45" s="34"/>
      <c r="XCF45" s="34"/>
      <c r="XCG45" s="34"/>
      <c r="XCH45" s="34"/>
      <c r="XCI45" s="34"/>
      <c r="XCJ45" s="34"/>
      <c r="XCK45" s="34"/>
      <c r="XCL45" s="34"/>
      <c r="XCM45" s="34"/>
      <c r="XCN45" s="34"/>
      <c r="XCO45" s="34"/>
      <c r="XCP45" s="34"/>
      <c r="XCQ45" s="34"/>
      <c r="XCR45" s="34"/>
      <c r="XCS45" s="34"/>
      <c r="XCT45" s="34"/>
      <c r="XCU45" s="34"/>
      <c r="XCV45" s="34"/>
      <c r="XCW45" s="34"/>
      <c r="XCX45" s="34"/>
      <c r="XCY45" s="34"/>
      <c r="XCZ45" s="34"/>
      <c r="XDA45" s="34"/>
      <c r="XDB45" s="34"/>
      <c r="XDC45" s="34"/>
      <c r="XDD45" s="34"/>
      <c r="XDE45" s="34"/>
      <c r="XDF45" s="34"/>
      <c r="XDG45" s="34"/>
      <c r="XDH45" s="34"/>
      <c r="XDI45" s="34"/>
      <c r="XDJ45" s="34"/>
      <c r="XDK45" s="34"/>
      <c r="XDL45" s="34"/>
      <c r="XDM45" s="34"/>
      <c r="XDN45" s="34"/>
      <c r="XDO45" s="34"/>
      <c r="XDP45" s="34"/>
      <c r="XDQ45" s="34"/>
      <c r="XDR45" s="34"/>
      <c r="XDS45" s="34"/>
      <c r="XDT45" s="34"/>
      <c r="XDU45" s="34"/>
      <c r="XDV45" s="34"/>
      <c r="XDW45" s="34"/>
      <c r="XDX45" s="34"/>
      <c r="XDY45" s="34"/>
      <c r="XDZ45" s="34"/>
      <c r="XEA45" s="34"/>
      <c r="XEB45" s="34"/>
      <c r="XEC45" s="34"/>
      <c r="XED45" s="34"/>
      <c r="XEE45" s="34"/>
      <c r="XEF45" s="34"/>
      <c r="XEG45" s="34"/>
      <c r="XEH45" s="34"/>
      <c r="XEI45" s="34"/>
      <c r="XEJ45" s="34"/>
      <c r="XEK45" s="34"/>
      <c r="XEL45" s="34"/>
      <c r="XEM45" s="34"/>
      <c r="XEN45" s="34"/>
      <c r="XEO45" s="34"/>
      <c r="XEP45" s="34"/>
      <c r="XEQ45" s="34"/>
      <c r="XER45" s="34"/>
      <c r="XES45" s="34"/>
      <c r="XET45" s="34"/>
      <c r="XEU45" s="34"/>
      <c r="XEV45" s="34"/>
      <c r="XEW45" s="34"/>
      <c r="XEX45" s="34"/>
      <c r="XEY45" s="34"/>
      <c r="XEZ45" s="34"/>
      <c r="XFA45" s="34"/>
      <c r="XFB45" s="34"/>
    </row>
    <row r="46" spans="1:22 16138:16382" x14ac:dyDescent="0.25">
      <c r="A46" s="42"/>
      <c r="B46" s="42"/>
      <c r="C46" s="39"/>
      <c r="D46" s="39"/>
      <c r="E46" s="39"/>
      <c r="F46" s="41"/>
      <c r="G46" s="41"/>
      <c r="H46" s="41"/>
      <c r="I46" s="41"/>
      <c r="J46" s="41"/>
      <c r="K46" s="41"/>
      <c r="L46" s="41"/>
      <c r="M46" s="39">
        <f>SUM(M2:M45)</f>
        <v>21600</v>
      </c>
      <c r="N46" s="39">
        <f>SUM(N2:N45)</f>
        <v>20428.199999999997</v>
      </c>
      <c r="O46" s="42">
        <f>SUM(O2:O45)</f>
        <v>1651</v>
      </c>
      <c r="P46" s="41">
        <f>SUM(P2:P45)</f>
        <v>6906</v>
      </c>
      <c r="Q46" s="43"/>
      <c r="R46" s="41"/>
      <c r="S46" s="41"/>
    </row>
    <row r="47" spans="1:22 16138:16382" x14ac:dyDescent="0.25">
      <c r="A47" s="42"/>
      <c r="B47" s="42"/>
      <c r="C47" s="39"/>
      <c r="D47" s="39"/>
      <c r="E47" s="39"/>
      <c r="F47" s="41"/>
      <c r="G47" s="41"/>
      <c r="H47" s="41"/>
      <c r="I47" s="41"/>
      <c r="J47" s="41"/>
      <c r="K47" s="41"/>
      <c r="L47" s="41"/>
      <c r="M47" s="41"/>
      <c r="N47" s="42"/>
      <c r="O47" s="42"/>
      <c r="P47" s="42"/>
      <c r="Q47" s="43"/>
      <c r="R47" s="42"/>
      <c r="S47" s="42"/>
    </row>
    <row r="48" spans="1:22 16138:16382" x14ac:dyDescent="0.25">
      <c r="A48" s="42"/>
      <c r="B48" s="42"/>
      <c r="C48" s="39"/>
      <c r="D48" s="39"/>
      <c r="E48" s="39"/>
      <c r="F48" s="41"/>
      <c r="G48" s="41"/>
      <c r="H48" s="41"/>
      <c r="I48" s="41"/>
      <c r="J48" s="41"/>
      <c r="K48" s="41"/>
      <c r="L48" s="41"/>
      <c r="M48" s="41"/>
      <c r="N48" s="42"/>
      <c r="O48" s="42"/>
      <c r="P48" s="42"/>
      <c r="Q48" s="43"/>
      <c r="R48" s="42"/>
      <c r="S48" s="42"/>
    </row>
    <row r="49" spans="1:19" x14ac:dyDescent="0.25">
      <c r="A49" s="42" t="s">
        <v>234</v>
      </c>
      <c r="B49" s="38" t="s">
        <v>430</v>
      </c>
      <c r="C49" s="39">
        <f t="shared" ref="C49:M49" si="2">SUMIF($B$2:$B$45,"0654",C2:C45)+SUMIF($B$2:$B$45,"6913",C2:C45)+SUMIF($B$2:$B$45,"6914",C2:C45)</f>
        <v>2112</v>
      </c>
      <c r="D49" s="39">
        <f t="shared" si="2"/>
        <v>131</v>
      </c>
      <c r="E49" s="39">
        <f t="shared" si="2"/>
        <v>0</v>
      </c>
      <c r="F49" s="39">
        <f t="shared" si="2"/>
        <v>0</v>
      </c>
      <c r="G49" s="39">
        <f t="shared" si="2"/>
        <v>0</v>
      </c>
      <c r="H49" s="39">
        <f t="shared" si="2"/>
        <v>0</v>
      </c>
      <c r="I49" s="39">
        <f t="shared" si="2"/>
        <v>6</v>
      </c>
      <c r="J49" s="39">
        <f t="shared" si="2"/>
        <v>957</v>
      </c>
      <c r="K49" s="39">
        <f t="shared" si="2"/>
        <v>1424</v>
      </c>
      <c r="L49" s="39">
        <f t="shared" si="2"/>
        <v>1344</v>
      </c>
      <c r="M49" s="39">
        <f t="shared" si="2"/>
        <v>2112</v>
      </c>
      <c r="N49" s="39">
        <f t="shared" ref="N49:N51" si="3">ROUND(C49+G49+H49+(E49*2*0.08),1)</f>
        <v>2112</v>
      </c>
      <c r="O49" s="39">
        <f>SUMIF($B$2:$B$45,"0654",O2:O45)+SUMIF($B$2:$B$45,"6913",O2:O45)+SUMIF($B$2:$B$45,"6914",O2:O45)</f>
        <v>508</v>
      </c>
      <c r="P49" s="41">
        <f>K49</f>
        <v>1424</v>
      </c>
      <c r="Q49" s="43"/>
      <c r="R49" s="39"/>
      <c r="S49" s="39"/>
    </row>
    <row r="50" spans="1:19" x14ac:dyDescent="0.25">
      <c r="A50" s="42" t="s">
        <v>236</v>
      </c>
      <c r="B50" s="42" t="s">
        <v>477</v>
      </c>
      <c r="C50" s="39">
        <f t="shared" ref="C50:M50" si="4">SUMIF($B$2:$B$45,"1882",C2:C45)+SUMIF($B$2:$B$45,"9037",C2:C45)+SUMIF($B$2:$B$45,"9040",C2:C45)</f>
        <v>585</v>
      </c>
      <c r="D50" s="39">
        <f t="shared" si="4"/>
        <v>37</v>
      </c>
      <c r="E50" s="39">
        <f t="shared" si="4"/>
        <v>0</v>
      </c>
      <c r="F50" s="39">
        <f t="shared" si="4"/>
        <v>0</v>
      </c>
      <c r="G50" s="39">
        <f t="shared" si="4"/>
        <v>12.5</v>
      </c>
      <c r="H50" s="39">
        <f t="shared" si="4"/>
        <v>0</v>
      </c>
      <c r="I50" s="39">
        <f t="shared" si="4"/>
        <v>0</v>
      </c>
      <c r="J50" s="39">
        <f t="shared" si="4"/>
        <v>353</v>
      </c>
      <c r="K50" s="39">
        <f t="shared" si="4"/>
        <v>476</v>
      </c>
      <c r="L50" s="39">
        <f t="shared" si="4"/>
        <v>436</v>
      </c>
      <c r="M50" s="39">
        <f t="shared" si="4"/>
        <v>585</v>
      </c>
      <c r="N50" s="39">
        <f t="shared" si="3"/>
        <v>597.5</v>
      </c>
      <c r="O50" s="39">
        <f>SUMIF($B$2:$B$45,"1882",O2:O45)+SUMIF($B$2:$B$45,"9037",O2:O45)+SUMIF($B$2:$B$45,"9040",O2:O45)</f>
        <v>144</v>
      </c>
      <c r="P50" s="41">
        <f>K50</f>
        <v>476</v>
      </c>
      <c r="Q50" s="43"/>
      <c r="R50" s="39"/>
      <c r="S50" s="39"/>
    </row>
    <row r="51" spans="1:19" x14ac:dyDescent="0.25">
      <c r="A51" s="42" t="s">
        <v>247</v>
      </c>
      <c r="B51" s="42" t="s">
        <v>478</v>
      </c>
      <c r="C51" s="39">
        <f t="shared" ref="C51:M51" si="5">SUMIF($B$2:$B$45,"6266",C2:C45)+SUMIF($B$2:$B$45,"3513",C2:C45)</f>
        <v>83</v>
      </c>
      <c r="D51" s="39">
        <f t="shared" si="5"/>
        <v>0</v>
      </c>
      <c r="E51" s="39">
        <f t="shared" si="5"/>
        <v>0</v>
      </c>
      <c r="F51" s="39">
        <f t="shared" si="5"/>
        <v>0</v>
      </c>
      <c r="G51" s="39">
        <f t="shared" si="5"/>
        <v>2</v>
      </c>
      <c r="H51" s="39">
        <f t="shared" si="5"/>
        <v>1</v>
      </c>
      <c r="I51" s="39">
        <f t="shared" si="5"/>
        <v>0</v>
      </c>
      <c r="J51" s="39">
        <f t="shared" si="5"/>
        <v>0</v>
      </c>
      <c r="K51" s="39">
        <f t="shared" si="5"/>
        <v>83</v>
      </c>
      <c r="L51" s="39">
        <f t="shared" si="5"/>
        <v>0</v>
      </c>
      <c r="M51" s="39">
        <f t="shared" si="5"/>
        <v>83</v>
      </c>
      <c r="N51" s="39">
        <f t="shared" si="3"/>
        <v>86</v>
      </c>
      <c r="O51" s="39">
        <f>SUMIF($B$2:$B$45,"6266",O2:O45)+SUMIF($B$2:$B$45,"3513",O2:O45)</f>
        <v>11</v>
      </c>
      <c r="P51" s="41">
        <f>K51</f>
        <v>83</v>
      </c>
      <c r="Q51" s="43"/>
      <c r="R51" s="39"/>
      <c r="S51" s="39"/>
    </row>
    <row r="52" spans="1:19" x14ac:dyDescent="0.25">
      <c r="J52" s="36"/>
      <c r="K52" s="36"/>
      <c r="L52" s="36"/>
      <c r="M52" s="36"/>
      <c r="Q52" s="44"/>
    </row>
    <row r="53" spans="1:19" x14ac:dyDescent="0.25">
      <c r="J53" s="36"/>
      <c r="K53" s="36"/>
      <c r="L53" s="36"/>
      <c r="M53" s="36"/>
      <c r="Q53" s="44"/>
    </row>
    <row r="54" spans="1:19" x14ac:dyDescent="0.25">
      <c r="J54" s="36"/>
      <c r="K54" s="36"/>
      <c r="L54" s="36"/>
      <c r="M54" s="36"/>
      <c r="Q54" s="44"/>
    </row>
    <row r="55" spans="1:19" x14ac:dyDescent="0.25">
      <c r="J55" s="36"/>
      <c r="K55" s="36"/>
      <c r="L55" s="36"/>
      <c r="M55" s="36"/>
      <c r="Q55" s="44"/>
    </row>
    <row r="56" spans="1:19" x14ac:dyDescent="0.25">
      <c r="J56" s="36"/>
      <c r="K56" s="36"/>
      <c r="L56" s="36"/>
      <c r="M56" s="36"/>
      <c r="Q56" s="44"/>
    </row>
    <row r="57" spans="1:19" x14ac:dyDescent="0.25">
      <c r="J57" s="36"/>
      <c r="K57" s="36"/>
      <c r="L57" s="36"/>
      <c r="M57" s="36"/>
      <c r="Q57" s="44"/>
    </row>
    <row r="58" spans="1:19" x14ac:dyDescent="0.25">
      <c r="J58" s="36"/>
      <c r="K58" s="36"/>
      <c r="L58" s="36"/>
      <c r="M58" s="36"/>
      <c r="Q58" s="44"/>
    </row>
    <row r="59" spans="1:19" x14ac:dyDescent="0.25">
      <c r="J59" s="36"/>
      <c r="K59" s="36"/>
      <c r="L59" s="36"/>
      <c r="M59" s="36"/>
      <c r="Q59" s="44"/>
    </row>
    <row r="60" spans="1:19" x14ac:dyDescent="0.25">
      <c r="J60" s="36"/>
      <c r="K60" s="36"/>
      <c r="L60" s="36"/>
      <c r="M60" s="36"/>
      <c r="Q60" s="44"/>
    </row>
    <row r="61" spans="1:19" x14ac:dyDescent="0.25">
      <c r="J61" s="36"/>
      <c r="K61" s="36"/>
      <c r="L61" s="36"/>
      <c r="M61" s="36"/>
      <c r="Q61" s="44"/>
    </row>
    <row r="62" spans="1:19" x14ac:dyDescent="0.25">
      <c r="J62" s="36"/>
      <c r="K62" s="36"/>
      <c r="L62" s="36"/>
      <c r="M62" s="36"/>
      <c r="Q62" s="44"/>
    </row>
    <row r="63" spans="1:19" x14ac:dyDescent="0.25">
      <c r="J63" s="36"/>
      <c r="K63" s="36"/>
      <c r="L63" s="36"/>
      <c r="M63" s="36"/>
      <c r="Q63" s="44"/>
    </row>
    <row r="64" spans="1:19" x14ac:dyDescent="0.25">
      <c r="J64" s="36"/>
      <c r="K64" s="36"/>
      <c r="L64" s="36"/>
      <c r="M64" s="36"/>
      <c r="Q64" s="44"/>
    </row>
    <row r="65" spans="10:17" x14ac:dyDescent="0.25">
      <c r="J65" s="36"/>
      <c r="K65" s="36"/>
      <c r="L65" s="36"/>
      <c r="M65" s="36"/>
      <c r="Q65" s="44"/>
    </row>
    <row r="66" spans="10:17" x14ac:dyDescent="0.25">
      <c r="J66" s="36"/>
      <c r="K66" s="36"/>
      <c r="L66" s="36"/>
      <c r="M66" s="36"/>
      <c r="Q66" s="44"/>
    </row>
    <row r="67" spans="10:17" x14ac:dyDescent="0.25">
      <c r="J67" s="36"/>
      <c r="K67" s="36"/>
      <c r="L67" s="36"/>
      <c r="M67" s="36"/>
      <c r="Q67" s="44"/>
    </row>
    <row r="68" spans="10:17" x14ac:dyDescent="0.25">
      <c r="J68" s="36"/>
      <c r="K68" s="36"/>
      <c r="L68" s="36"/>
      <c r="M68" s="36"/>
      <c r="Q68" s="44"/>
    </row>
    <row r="69" spans="10:17" x14ac:dyDescent="0.25">
      <c r="J69" s="36"/>
      <c r="K69" s="36"/>
      <c r="L69" s="36"/>
      <c r="M69" s="36"/>
      <c r="Q69" s="44"/>
    </row>
    <row r="70" spans="10:17" x14ac:dyDescent="0.25">
      <c r="J70" s="36"/>
      <c r="K70" s="36"/>
      <c r="L70" s="36"/>
      <c r="M70" s="36"/>
      <c r="Q70" s="44"/>
    </row>
    <row r="71" spans="10:17" x14ac:dyDescent="0.25">
      <c r="J71" s="36"/>
      <c r="K71" s="36"/>
      <c r="L71" s="36"/>
      <c r="M71" s="36"/>
      <c r="Q71" s="44"/>
    </row>
    <row r="72" spans="10:17" x14ac:dyDescent="0.25">
      <c r="J72" s="36"/>
      <c r="K72" s="36"/>
      <c r="L72" s="36"/>
      <c r="M72" s="36"/>
      <c r="Q72" s="44"/>
    </row>
    <row r="73" spans="10:17" x14ac:dyDescent="0.25">
      <c r="J73" s="36"/>
      <c r="K73" s="36"/>
      <c r="L73" s="36"/>
      <c r="M73" s="36"/>
      <c r="Q73" s="44"/>
    </row>
    <row r="74" spans="10:17" x14ac:dyDescent="0.25">
      <c r="J74" s="36"/>
      <c r="K74" s="36"/>
      <c r="L74" s="36"/>
      <c r="M74" s="36"/>
      <c r="Q74" s="44"/>
    </row>
    <row r="75" spans="10:17" x14ac:dyDescent="0.25">
      <c r="J75" s="36"/>
      <c r="K75" s="36"/>
      <c r="L75" s="36"/>
      <c r="M75" s="36"/>
      <c r="Q75" s="44"/>
    </row>
    <row r="76" spans="10:17" x14ac:dyDescent="0.25">
      <c r="J76" s="36"/>
      <c r="K76" s="36"/>
      <c r="L76" s="36"/>
      <c r="M76" s="36"/>
      <c r="Q76" s="44"/>
    </row>
    <row r="77" spans="10:17" x14ac:dyDescent="0.25">
      <c r="J77" s="36"/>
      <c r="K77" s="36"/>
      <c r="L77" s="36"/>
      <c r="M77" s="36"/>
      <c r="Q77" s="44"/>
    </row>
    <row r="78" spans="10:17" x14ac:dyDescent="0.25">
      <c r="J78" s="36"/>
      <c r="K78" s="36"/>
      <c r="L78" s="36"/>
      <c r="M78" s="36"/>
      <c r="Q78" s="44"/>
    </row>
    <row r="79" spans="10:17" x14ac:dyDescent="0.25">
      <c r="J79" s="36"/>
      <c r="K79" s="36"/>
      <c r="L79" s="36"/>
      <c r="M79" s="36"/>
      <c r="Q79" s="44"/>
    </row>
    <row r="80" spans="10:17" x14ac:dyDescent="0.25">
      <c r="J80" s="36"/>
      <c r="K80" s="36"/>
      <c r="L80" s="36"/>
      <c r="M80" s="36"/>
      <c r="Q80" s="44"/>
    </row>
    <row r="81" spans="10:17" x14ac:dyDescent="0.25">
      <c r="J81" s="36"/>
      <c r="K81" s="36"/>
      <c r="L81" s="36"/>
      <c r="M81" s="36"/>
      <c r="Q81" s="44"/>
    </row>
    <row r="82" spans="10:17" x14ac:dyDescent="0.25">
      <c r="J82" s="36"/>
      <c r="K82" s="36"/>
      <c r="L82" s="36"/>
      <c r="M82" s="36"/>
      <c r="Q82" s="44"/>
    </row>
    <row r="83" spans="10:17" x14ac:dyDescent="0.25">
      <c r="J83" s="36"/>
      <c r="K83" s="36"/>
      <c r="L83" s="36"/>
      <c r="M83" s="36"/>
      <c r="Q83" s="44"/>
    </row>
    <row r="84" spans="10:17" x14ac:dyDescent="0.25">
      <c r="J84" s="36"/>
      <c r="K84" s="36"/>
      <c r="L84" s="36"/>
      <c r="M84" s="36"/>
      <c r="Q84" s="44"/>
    </row>
    <row r="85" spans="10:17" x14ac:dyDescent="0.25">
      <c r="J85" s="36"/>
      <c r="K85" s="36"/>
      <c r="L85" s="36"/>
      <c r="M85" s="36"/>
      <c r="Q85" s="44"/>
    </row>
    <row r="86" spans="10:17" x14ac:dyDescent="0.25">
      <c r="J86" s="36"/>
      <c r="K86" s="36"/>
      <c r="L86" s="36"/>
      <c r="M86" s="36"/>
      <c r="Q86" s="44"/>
    </row>
    <row r="87" spans="10:17" x14ac:dyDescent="0.25">
      <c r="J87" s="36"/>
      <c r="K87" s="36"/>
      <c r="L87" s="36"/>
      <c r="M87" s="36"/>
      <c r="Q87" s="44"/>
    </row>
    <row r="88" spans="10:17" x14ac:dyDescent="0.25">
      <c r="J88" s="36"/>
      <c r="K88" s="36"/>
      <c r="L88" s="36"/>
      <c r="M88" s="36"/>
      <c r="Q88" s="44"/>
    </row>
    <row r="89" spans="10:17" x14ac:dyDescent="0.25">
      <c r="J89" s="36"/>
      <c r="K89" s="36"/>
      <c r="L89" s="36"/>
      <c r="M89" s="36"/>
      <c r="Q89" s="44"/>
    </row>
    <row r="90" spans="10:17" x14ac:dyDescent="0.25">
      <c r="J90" s="36"/>
      <c r="K90" s="36"/>
      <c r="L90" s="36"/>
      <c r="M90" s="36"/>
      <c r="Q90" s="44"/>
    </row>
    <row r="91" spans="10:17" x14ac:dyDescent="0.25">
      <c r="J91" s="36"/>
      <c r="K91" s="36"/>
      <c r="L91" s="36"/>
      <c r="M91" s="36"/>
      <c r="Q91" s="44"/>
    </row>
    <row r="92" spans="10:17" x14ac:dyDescent="0.25">
      <c r="J92" s="36"/>
      <c r="K92" s="36"/>
      <c r="L92" s="36"/>
      <c r="M92" s="36"/>
      <c r="Q92" s="44"/>
    </row>
    <row r="93" spans="10:17" x14ac:dyDescent="0.25">
      <c r="J93" s="36"/>
      <c r="K93" s="36"/>
      <c r="L93" s="36"/>
      <c r="M93" s="36"/>
      <c r="Q93" s="44"/>
    </row>
    <row r="94" spans="10:17" x14ac:dyDescent="0.25">
      <c r="J94" s="36"/>
      <c r="K94" s="36"/>
      <c r="L94" s="36"/>
      <c r="M94" s="36"/>
      <c r="Q94" s="44"/>
    </row>
    <row r="95" spans="10:17" x14ac:dyDescent="0.25">
      <c r="J95" s="36"/>
      <c r="K95" s="36"/>
      <c r="L95" s="36"/>
      <c r="M95" s="36"/>
      <c r="Q95" s="44"/>
    </row>
    <row r="96" spans="10:17" x14ac:dyDescent="0.25">
      <c r="J96" s="36"/>
      <c r="K96" s="36"/>
      <c r="L96" s="36"/>
      <c r="M96" s="36"/>
      <c r="Q96" s="44"/>
    </row>
    <row r="97" spans="10:17" x14ac:dyDescent="0.25">
      <c r="J97" s="36"/>
      <c r="K97" s="36"/>
      <c r="L97" s="36"/>
      <c r="M97" s="36"/>
      <c r="Q97" s="44"/>
    </row>
    <row r="98" spans="10:17" x14ac:dyDescent="0.25">
      <c r="J98" s="36"/>
      <c r="K98" s="36"/>
      <c r="L98" s="36"/>
      <c r="M98" s="36"/>
      <c r="Q98" s="44"/>
    </row>
    <row r="99" spans="10:17" x14ac:dyDescent="0.25">
      <c r="J99" s="36"/>
      <c r="K99" s="36"/>
      <c r="L99" s="36"/>
      <c r="M99" s="36"/>
      <c r="Q99" s="44"/>
    </row>
    <row r="100" spans="10:17" x14ac:dyDescent="0.25">
      <c r="J100" s="36"/>
      <c r="K100" s="36"/>
      <c r="L100" s="36"/>
      <c r="M100" s="36"/>
      <c r="Q100" s="44"/>
    </row>
    <row r="101" spans="10:17" x14ac:dyDescent="0.25">
      <c r="J101" s="36"/>
      <c r="K101" s="36"/>
      <c r="L101" s="36"/>
      <c r="M101" s="36"/>
      <c r="Q101" s="44"/>
    </row>
    <row r="102" spans="10:17" x14ac:dyDescent="0.25">
      <c r="J102" s="36"/>
      <c r="K102" s="36"/>
      <c r="L102" s="36"/>
      <c r="M102" s="36"/>
      <c r="Q102" s="44"/>
    </row>
    <row r="103" spans="10:17" x14ac:dyDescent="0.25">
      <c r="J103" s="36"/>
      <c r="K103" s="36"/>
      <c r="L103" s="36"/>
      <c r="M103" s="36"/>
      <c r="Q103" s="44"/>
    </row>
    <row r="104" spans="10:17" x14ac:dyDescent="0.25">
      <c r="J104" s="36"/>
      <c r="K104" s="36"/>
      <c r="L104" s="36"/>
      <c r="M104" s="36"/>
      <c r="Q104" s="44"/>
    </row>
    <row r="105" spans="10:17" x14ac:dyDescent="0.25">
      <c r="J105" s="36"/>
      <c r="K105" s="36"/>
      <c r="L105" s="36"/>
      <c r="M105" s="36"/>
      <c r="Q105" s="44"/>
    </row>
    <row r="106" spans="10:17" x14ac:dyDescent="0.25">
      <c r="J106" s="36"/>
      <c r="K106" s="36"/>
      <c r="L106" s="36"/>
      <c r="M106" s="36"/>
      <c r="Q106" s="44"/>
    </row>
    <row r="107" spans="10:17" x14ac:dyDescent="0.25">
      <c r="J107" s="36"/>
      <c r="K107" s="36"/>
      <c r="L107" s="36"/>
      <c r="M107" s="36"/>
      <c r="Q107" s="44"/>
    </row>
    <row r="108" spans="10:17" x14ac:dyDescent="0.25">
      <c r="J108" s="36"/>
      <c r="K108" s="36"/>
      <c r="L108" s="36"/>
      <c r="M108" s="36"/>
      <c r="Q108" s="44"/>
    </row>
    <row r="109" spans="10:17" x14ac:dyDescent="0.25">
      <c r="J109" s="36"/>
      <c r="K109" s="36"/>
      <c r="L109" s="36"/>
      <c r="M109" s="36"/>
      <c r="Q109" s="44"/>
    </row>
    <row r="110" spans="10:17" x14ac:dyDescent="0.25">
      <c r="J110" s="36"/>
      <c r="K110" s="36"/>
      <c r="L110" s="36"/>
      <c r="M110" s="36"/>
      <c r="Q110" s="44"/>
    </row>
    <row r="111" spans="10:17" x14ac:dyDescent="0.25">
      <c r="J111" s="36"/>
      <c r="K111" s="36"/>
      <c r="L111" s="36"/>
      <c r="M111" s="36"/>
      <c r="Q111" s="44"/>
    </row>
    <row r="112" spans="10:17" x14ac:dyDescent="0.25">
      <c r="J112" s="36"/>
      <c r="K112" s="36"/>
      <c r="L112" s="36"/>
      <c r="M112" s="36"/>
      <c r="Q112" s="44"/>
    </row>
    <row r="113" spans="10:17" x14ac:dyDescent="0.25">
      <c r="J113" s="36"/>
      <c r="K113" s="36"/>
      <c r="L113" s="36"/>
      <c r="M113" s="36"/>
      <c r="Q113" s="44"/>
    </row>
    <row r="114" spans="10:17" x14ac:dyDescent="0.25">
      <c r="J114" s="36"/>
      <c r="K114" s="36"/>
      <c r="L114" s="36"/>
      <c r="M114" s="36"/>
      <c r="Q114" s="44"/>
    </row>
    <row r="115" spans="10:17" x14ac:dyDescent="0.25">
      <c r="J115" s="36"/>
      <c r="K115" s="36"/>
      <c r="L115" s="36"/>
      <c r="M115" s="36"/>
      <c r="Q115" s="44"/>
    </row>
    <row r="116" spans="10:17" x14ac:dyDescent="0.25">
      <c r="J116" s="36"/>
      <c r="K116" s="36"/>
      <c r="L116" s="36"/>
      <c r="M116" s="36"/>
      <c r="Q116" s="44"/>
    </row>
    <row r="117" spans="10:17" x14ac:dyDescent="0.25">
      <c r="J117" s="36"/>
      <c r="K117" s="36"/>
      <c r="L117" s="36"/>
      <c r="M117" s="36"/>
      <c r="Q117" s="44"/>
    </row>
    <row r="118" spans="10:17" x14ac:dyDescent="0.25">
      <c r="J118" s="36"/>
      <c r="K118" s="36"/>
      <c r="L118" s="36"/>
      <c r="M118" s="36"/>
      <c r="Q118" s="44"/>
    </row>
    <row r="119" spans="10:17" x14ac:dyDescent="0.25">
      <c r="J119" s="36"/>
      <c r="K119" s="36"/>
      <c r="L119" s="36"/>
      <c r="M119" s="36"/>
      <c r="Q119" s="44"/>
    </row>
    <row r="120" spans="10:17" x14ac:dyDescent="0.25">
      <c r="J120" s="36"/>
      <c r="K120" s="36"/>
      <c r="L120" s="36"/>
      <c r="M120" s="36"/>
      <c r="Q120" s="44"/>
    </row>
    <row r="121" spans="10:17" x14ac:dyDescent="0.25">
      <c r="J121" s="36"/>
      <c r="K121" s="36"/>
      <c r="L121" s="36"/>
      <c r="M121" s="36"/>
      <c r="Q121" s="44"/>
    </row>
    <row r="122" spans="10:17" x14ac:dyDescent="0.25">
      <c r="J122" s="36"/>
      <c r="K122" s="36"/>
      <c r="L122" s="36"/>
      <c r="M122" s="36"/>
      <c r="Q122" s="44"/>
    </row>
    <row r="123" spans="10:17" x14ac:dyDescent="0.25">
      <c r="J123" s="36"/>
      <c r="K123" s="36"/>
      <c r="L123" s="36"/>
      <c r="M123" s="36"/>
      <c r="Q123" s="44"/>
    </row>
    <row r="124" spans="10:17" x14ac:dyDescent="0.25">
      <c r="J124" s="36"/>
      <c r="K124" s="36"/>
      <c r="L124" s="36"/>
      <c r="M124" s="36"/>
      <c r="Q124" s="44"/>
    </row>
    <row r="125" spans="10:17" x14ac:dyDescent="0.25">
      <c r="J125" s="36"/>
      <c r="K125" s="36"/>
      <c r="L125" s="36"/>
      <c r="M125" s="36"/>
      <c r="Q125" s="44"/>
    </row>
    <row r="126" spans="10:17" x14ac:dyDescent="0.25">
      <c r="J126" s="36"/>
      <c r="K126" s="36"/>
      <c r="L126" s="36"/>
      <c r="M126" s="36"/>
      <c r="Q126" s="44"/>
    </row>
    <row r="127" spans="10:17" x14ac:dyDescent="0.25">
      <c r="J127" s="36"/>
      <c r="K127" s="36"/>
      <c r="L127" s="36"/>
      <c r="M127" s="36"/>
      <c r="Q127" s="44"/>
    </row>
    <row r="128" spans="10:17" x14ac:dyDescent="0.25">
      <c r="J128" s="36"/>
      <c r="K128" s="36"/>
      <c r="L128" s="36"/>
      <c r="M128" s="36"/>
      <c r="Q128" s="44"/>
    </row>
    <row r="129" spans="10:17" x14ac:dyDescent="0.25">
      <c r="J129" s="36"/>
      <c r="K129" s="36"/>
      <c r="L129" s="36"/>
      <c r="M129" s="36"/>
      <c r="Q129" s="44"/>
    </row>
    <row r="130" spans="10:17" x14ac:dyDescent="0.25">
      <c r="J130" s="36"/>
      <c r="K130" s="36"/>
      <c r="L130" s="36"/>
      <c r="M130" s="36"/>
      <c r="Q130" s="44"/>
    </row>
    <row r="131" spans="10:17" x14ac:dyDescent="0.25">
      <c r="J131" s="36"/>
      <c r="K131" s="36"/>
      <c r="L131" s="36"/>
      <c r="M131" s="36"/>
      <c r="Q131" s="44"/>
    </row>
    <row r="132" spans="10:17" x14ac:dyDescent="0.25">
      <c r="J132" s="36"/>
      <c r="K132" s="36"/>
      <c r="L132" s="36"/>
      <c r="M132" s="36"/>
      <c r="Q132" s="44"/>
    </row>
    <row r="133" spans="10:17" x14ac:dyDescent="0.25">
      <c r="J133" s="36"/>
      <c r="K133" s="36"/>
      <c r="L133" s="36"/>
      <c r="M133" s="36"/>
      <c r="Q133" s="44"/>
    </row>
    <row r="134" spans="10:17" x14ac:dyDescent="0.25">
      <c r="J134" s="36"/>
      <c r="K134" s="36"/>
      <c r="L134" s="36"/>
      <c r="M134" s="36"/>
      <c r="Q134" s="44"/>
    </row>
    <row r="135" spans="10:17" x14ac:dyDescent="0.25">
      <c r="J135" s="36"/>
      <c r="K135" s="36"/>
      <c r="L135" s="36"/>
      <c r="M135" s="36"/>
      <c r="Q135" s="44"/>
    </row>
    <row r="136" spans="10:17" x14ac:dyDescent="0.25">
      <c r="J136" s="36"/>
      <c r="K136" s="36"/>
      <c r="L136" s="36"/>
      <c r="M136" s="36"/>
      <c r="Q136" s="44"/>
    </row>
    <row r="137" spans="10:17" x14ac:dyDescent="0.25">
      <c r="J137" s="36"/>
      <c r="K137" s="36"/>
      <c r="L137" s="36"/>
      <c r="M137" s="36"/>
      <c r="Q137" s="44"/>
    </row>
    <row r="138" spans="10:17" x14ac:dyDescent="0.25">
      <c r="J138" s="36"/>
      <c r="K138" s="36"/>
      <c r="L138" s="36"/>
      <c r="M138" s="36"/>
      <c r="Q138" s="44"/>
    </row>
    <row r="139" spans="10:17" x14ac:dyDescent="0.25">
      <c r="J139" s="36"/>
      <c r="K139" s="36"/>
      <c r="L139" s="36"/>
      <c r="M139" s="36"/>
      <c r="Q139" s="44"/>
    </row>
    <row r="140" spans="10:17" x14ac:dyDescent="0.25">
      <c r="J140" s="36"/>
      <c r="K140" s="36"/>
      <c r="L140" s="36"/>
      <c r="M140" s="36"/>
      <c r="Q140" s="44"/>
    </row>
    <row r="141" spans="10:17" x14ac:dyDescent="0.25">
      <c r="J141" s="36"/>
      <c r="K141" s="36"/>
      <c r="L141" s="36"/>
      <c r="M141" s="36"/>
      <c r="Q141" s="44"/>
    </row>
    <row r="142" spans="10:17" x14ac:dyDescent="0.25">
      <c r="J142" s="36"/>
      <c r="K142" s="36"/>
      <c r="L142" s="36"/>
      <c r="M142" s="36"/>
      <c r="Q142" s="44"/>
    </row>
    <row r="143" spans="10:17" x14ac:dyDescent="0.25">
      <c r="J143" s="36"/>
      <c r="K143" s="36"/>
      <c r="L143" s="36"/>
      <c r="M143" s="36"/>
      <c r="Q143" s="44"/>
    </row>
    <row r="144" spans="10:17" x14ac:dyDescent="0.25">
      <c r="J144" s="36"/>
      <c r="K144" s="36"/>
      <c r="L144" s="36"/>
      <c r="M144" s="36"/>
      <c r="Q144" s="44"/>
    </row>
    <row r="145" spans="10:17" x14ac:dyDescent="0.25">
      <c r="J145" s="36"/>
      <c r="K145" s="36"/>
      <c r="L145" s="36"/>
      <c r="M145" s="36"/>
      <c r="Q145" s="44"/>
    </row>
    <row r="146" spans="10:17" x14ac:dyDescent="0.25">
      <c r="J146" s="36"/>
      <c r="K146" s="36"/>
      <c r="L146" s="36"/>
      <c r="M146" s="36"/>
      <c r="Q146" s="44"/>
    </row>
    <row r="147" spans="10:17" x14ac:dyDescent="0.25">
      <c r="J147" s="36"/>
      <c r="K147" s="36"/>
      <c r="L147" s="36"/>
      <c r="M147" s="36"/>
      <c r="Q147" s="44"/>
    </row>
    <row r="148" spans="10:17" x14ac:dyDescent="0.25">
      <c r="J148" s="36"/>
      <c r="K148" s="36"/>
      <c r="L148" s="36"/>
      <c r="M148" s="36"/>
      <c r="Q148" s="44"/>
    </row>
    <row r="149" spans="10:17" x14ac:dyDescent="0.25">
      <c r="J149" s="36"/>
      <c r="K149" s="36"/>
      <c r="L149" s="36"/>
      <c r="M149" s="36"/>
      <c r="Q149" s="44"/>
    </row>
    <row r="150" spans="10:17" x14ac:dyDescent="0.25">
      <c r="J150" s="36"/>
      <c r="K150" s="36"/>
      <c r="L150" s="36"/>
      <c r="M150" s="36"/>
      <c r="Q150" s="44"/>
    </row>
    <row r="151" spans="10:17" x14ac:dyDescent="0.25">
      <c r="J151" s="36"/>
      <c r="K151" s="36"/>
      <c r="L151" s="36"/>
      <c r="M151" s="36"/>
      <c r="Q151" s="44"/>
    </row>
    <row r="152" spans="10:17" x14ac:dyDescent="0.25">
      <c r="J152" s="36"/>
      <c r="K152" s="36"/>
      <c r="L152" s="36"/>
      <c r="M152" s="36"/>
      <c r="Q152" s="44"/>
    </row>
    <row r="153" spans="10:17" x14ac:dyDescent="0.25">
      <c r="J153" s="36"/>
      <c r="K153" s="36"/>
      <c r="L153" s="36"/>
      <c r="M153" s="36"/>
      <c r="Q153" s="44"/>
    </row>
    <row r="154" spans="10:17" x14ac:dyDescent="0.25">
      <c r="J154" s="36"/>
      <c r="K154" s="36"/>
      <c r="L154" s="36"/>
      <c r="M154" s="36"/>
      <c r="Q154" s="44"/>
    </row>
    <row r="155" spans="10:17" x14ac:dyDescent="0.25">
      <c r="J155" s="36"/>
      <c r="K155" s="36"/>
      <c r="L155" s="36"/>
      <c r="M155" s="36"/>
      <c r="Q155" s="44"/>
    </row>
    <row r="156" spans="10:17" x14ac:dyDescent="0.25">
      <c r="J156" s="36"/>
      <c r="K156" s="36"/>
      <c r="L156" s="36"/>
      <c r="M156" s="36"/>
      <c r="Q156" s="44"/>
    </row>
    <row r="157" spans="10:17" x14ac:dyDescent="0.25">
      <c r="J157" s="36"/>
      <c r="K157" s="36"/>
      <c r="L157" s="36"/>
      <c r="M157" s="36"/>
      <c r="Q157" s="44"/>
    </row>
    <row r="158" spans="10:17" x14ac:dyDescent="0.25">
      <c r="J158" s="36"/>
      <c r="K158" s="36"/>
      <c r="L158" s="36"/>
      <c r="M158" s="36"/>
      <c r="Q158" s="44"/>
    </row>
    <row r="159" spans="10:17" x14ac:dyDescent="0.25">
      <c r="J159" s="36"/>
      <c r="K159" s="36"/>
      <c r="L159" s="36"/>
      <c r="M159" s="36"/>
      <c r="Q159" s="44"/>
    </row>
    <row r="160" spans="10:17" x14ac:dyDescent="0.25">
      <c r="J160" s="36"/>
      <c r="K160" s="36"/>
      <c r="L160" s="36"/>
      <c r="M160" s="36"/>
      <c r="Q160" s="44"/>
    </row>
    <row r="161" spans="10:17" x14ac:dyDescent="0.25">
      <c r="J161" s="36"/>
      <c r="K161" s="36"/>
      <c r="L161" s="36"/>
      <c r="M161" s="36"/>
      <c r="Q161" s="44"/>
    </row>
    <row r="162" spans="10:17" x14ac:dyDescent="0.25">
      <c r="J162" s="36"/>
      <c r="K162" s="36"/>
      <c r="L162" s="36"/>
      <c r="M162" s="36"/>
      <c r="Q162" s="44"/>
    </row>
    <row r="163" spans="10:17" x14ac:dyDescent="0.25">
      <c r="J163" s="36"/>
      <c r="K163" s="36"/>
      <c r="L163" s="36"/>
      <c r="M163" s="36"/>
      <c r="Q163" s="44"/>
    </row>
    <row r="164" spans="10:17" x14ac:dyDescent="0.25">
      <c r="J164" s="36"/>
      <c r="K164" s="36"/>
      <c r="L164" s="36"/>
      <c r="M164" s="36"/>
      <c r="Q164" s="44"/>
    </row>
    <row r="165" spans="10:17" x14ac:dyDescent="0.25">
      <c r="J165" s="36"/>
      <c r="K165" s="36"/>
      <c r="L165" s="36"/>
      <c r="M165" s="36"/>
      <c r="Q165" s="44"/>
    </row>
    <row r="166" spans="10:17" x14ac:dyDescent="0.25">
      <c r="J166" s="36"/>
      <c r="K166" s="36"/>
      <c r="L166" s="36"/>
      <c r="M166" s="36"/>
      <c r="Q166" s="44"/>
    </row>
    <row r="167" spans="10:17" x14ac:dyDescent="0.25">
      <c r="J167" s="36"/>
      <c r="K167" s="36"/>
      <c r="L167" s="36"/>
      <c r="M167" s="36"/>
      <c r="Q167" s="44"/>
    </row>
    <row r="168" spans="10:17" x14ac:dyDescent="0.25">
      <c r="J168" s="36"/>
      <c r="K168" s="36"/>
      <c r="L168" s="36"/>
      <c r="M168" s="36"/>
      <c r="Q168" s="44"/>
    </row>
    <row r="169" spans="10:17" x14ac:dyDescent="0.25">
      <c r="J169" s="36"/>
      <c r="K169" s="36"/>
      <c r="L169" s="36"/>
      <c r="M169" s="36"/>
      <c r="Q169" s="44"/>
    </row>
    <row r="170" spans="10:17" x14ac:dyDescent="0.25">
      <c r="J170" s="36"/>
      <c r="K170" s="36"/>
      <c r="L170" s="36"/>
      <c r="M170" s="36"/>
      <c r="Q170" s="44"/>
    </row>
    <row r="171" spans="10:17" x14ac:dyDescent="0.25">
      <c r="J171" s="36"/>
      <c r="K171" s="36"/>
      <c r="L171" s="36"/>
      <c r="M171" s="36"/>
      <c r="Q171" s="44"/>
    </row>
    <row r="172" spans="10:17" x14ac:dyDescent="0.25">
      <c r="J172" s="36"/>
      <c r="K172" s="36"/>
      <c r="L172" s="36"/>
      <c r="M172" s="36"/>
      <c r="Q172" s="44"/>
    </row>
    <row r="173" spans="10:17" x14ac:dyDescent="0.25">
      <c r="J173" s="36"/>
      <c r="K173" s="36"/>
      <c r="L173" s="36"/>
      <c r="M173" s="36"/>
      <c r="Q173" s="44"/>
    </row>
    <row r="174" spans="10:17" x14ac:dyDescent="0.25">
      <c r="J174" s="36"/>
      <c r="K174" s="36"/>
      <c r="L174" s="36"/>
      <c r="M174" s="36"/>
      <c r="Q174" s="44"/>
    </row>
    <row r="175" spans="10:17" x14ac:dyDescent="0.25">
      <c r="J175" s="36"/>
      <c r="K175" s="36"/>
      <c r="L175" s="36"/>
      <c r="M175" s="36"/>
      <c r="Q175" s="44"/>
    </row>
    <row r="176" spans="10:17" x14ac:dyDescent="0.25">
      <c r="J176" s="36"/>
      <c r="K176" s="36"/>
      <c r="L176" s="36"/>
      <c r="M176" s="36"/>
      <c r="Q176" s="44"/>
    </row>
    <row r="177" spans="10:17" x14ac:dyDescent="0.25">
      <c r="J177" s="36"/>
      <c r="K177" s="36"/>
      <c r="L177" s="36"/>
      <c r="M177" s="36"/>
      <c r="Q177" s="44"/>
    </row>
    <row r="178" spans="10:17" x14ac:dyDescent="0.25">
      <c r="J178" s="36"/>
      <c r="K178" s="36"/>
      <c r="L178" s="36"/>
      <c r="M178" s="36"/>
      <c r="Q178" s="44"/>
    </row>
    <row r="179" spans="10:17" x14ac:dyDescent="0.25">
      <c r="J179" s="36"/>
      <c r="K179" s="36"/>
      <c r="L179" s="36"/>
      <c r="M179" s="36"/>
      <c r="Q179" s="44"/>
    </row>
    <row r="180" spans="10:17" x14ac:dyDescent="0.25">
      <c r="J180" s="36"/>
      <c r="K180" s="36"/>
      <c r="L180" s="36"/>
      <c r="M180" s="36"/>
      <c r="Q180" s="44"/>
    </row>
    <row r="181" spans="10:17" x14ac:dyDescent="0.25">
      <c r="J181" s="36"/>
      <c r="K181" s="36"/>
      <c r="L181" s="36"/>
      <c r="M181" s="36"/>
      <c r="Q181" s="44"/>
    </row>
    <row r="182" spans="10:17" x14ac:dyDescent="0.25">
      <c r="J182" s="36"/>
      <c r="K182" s="36"/>
      <c r="L182" s="36"/>
      <c r="M182" s="36"/>
      <c r="Q182" s="44"/>
    </row>
    <row r="183" spans="10:17" x14ac:dyDescent="0.25">
      <c r="J183" s="36"/>
      <c r="K183" s="36"/>
      <c r="L183" s="36"/>
      <c r="M183" s="36"/>
      <c r="Q183" s="44"/>
    </row>
    <row r="184" spans="10:17" x14ac:dyDescent="0.25">
      <c r="J184" s="36"/>
      <c r="K184" s="36"/>
      <c r="L184" s="36"/>
      <c r="M184" s="36"/>
      <c r="Q184" s="44"/>
    </row>
    <row r="185" spans="10:17" x14ac:dyDescent="0.25">
      <c r="J185" s="36"/>
      <c r="K185" s="36"/>
      <c r="L185" s="36"/>
      <c r="M185" s="36"/>
      <c r="Q185" s="44"/>
    </row>
    <row r="186" spans="10:17" x14ac:dyDescent="0.25">
      <c r="J186" s="36"/>
      <c r="K186" s="36"/>
      <c r="L186" s="36"/>
      <c r="M186" s="36"/>
      <c r="Q186" s="44"/>
    </row>
    <row r="187" spans="10:17" x14ac:dyDescent="0.25">
      <c r="J187" s="36"/>
      <c r="K187" s="36"/>
      <c r="L187" s="36"/>
      <c r="M187" s="36"/>
      <c r="Q187" s="44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Calculation Form</vt:lpstr>
      <vt:lpstr>Inputs</vt:lpstr>
      <vt:lpstr>CSI Counts</vt:lpstr>
      <vt:lpstr>Inputs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gerard_j</dc:creator>
  <cp:lastModifiedBy>Kahle, Tim</cp:lastModifiedBy>
  <cp:lastPrinted>2019-01-24T20:46:09Z</cp:lastPrinted>
  <dcterms:created xsi:type="dcterms:W3CDTF">2005-04-07T14:33:00Z</dcterms:created>
  <dcterms:modified xsi:type="dcterms:W3CDTF">2022-03-11T17:03:05Z</dcterms:modified>
</cp:coreProperties>
</file>