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PAYMENTS\PSFA21\"/>
    </mc:Choice>
  </mc:AlternateContent>
  <xr:revisionPtr revIDLastSave="0" documentId="8_{E5D009AA-F61B-4E58-AF7A-70EADD5EF6C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lculation Form" sheetId="1" r:id="rId1"/>
    <sheet name="Inputs" sheetId="2" r:id="rId2"/>
    <sheet name="CSI Counts" sheetId="3" state="hidden" r:id="rId3"/>
  </sheets>
  <externalReferences>
    <externalReference r:id="rId4"/>
  </externalReferences>
  <definedNames>
    <definedName name="Inputs">Inputs!$A$2:$I$181</definedName>
    <definedName name="Values">[1]Inputs!$A$2:$I$181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3" i="2" l="1"/>
  <c r="J183" i="2"/>
  <c r="I183" i="2"/>
  <c r="L183" i="2" s="1"/>
  <c r="H183" i="2"/>
  <c r="G183" i="2"/>
  <c r="F183" i="2"/>
  <c r="E183" i="2"/>
  <c r="D183" i="2"/>
  <c r="L182" i="2"/>
  <c r="I55" i="3" l="1"/>
  <c r="F55" i="3"/>
  <c r="I54" i="3"/>
  <c r="F54" i="3"/>
  <c r="I53" i="3"/>
  <c r="F53" i="3"/>
  <c r="P48" i="3"/>
  <c r="N48" i="3"/>
  <c r="P47" i="3"/>
  <c r="N47" i="3"/>
  <c r="P46" i="3"/>
  <c r="N46" i="3"/>
  <c r="P45" i="3"/>
  <c r="N45" i="3"/>
  <c r="P44" i="3"/>
  <c r="N44" i="3"/>
  <c r="P43" i="3"/>
  <c r="N43" i="3"/>
  <c r="P42" i="3"/>
  <c r="N42" i="3"/>
  <c r="P41" i="3"/>
  <c r="N41" i="3"/>
  <c r="P40" i="3"/>
  <c r="N40" i="3"/>
  <c r="P39" i="3"/>
  <c r="N39" i="3"/>
  <c r="P38" i="3"/>
  <c r="N38" i="3"/>
  <c r="P37" i="3"/>
  <c r="N37" i="3"/>
  <c r="P36" i="3"/>
  <c r="N36" i="3"/>
  <c r="P35" i="3"/>
  <c r="N35" i="3"/>
  <c r="P34" i="3"/>
  <c r="N34" i="3"/>
  <c r="P33" i="3"/>
  <c r="N33" i="3"/>
  <c r="P32" i="3"/>
  <c r="N32" i="3"/>
  <c r="P31" i="3"/>
  <c r="N31" i="3"/>
  <c r="P30" i="3"/>
  <c r="N30" i="3"/>
  <c r="P29" i="3"/>
  <c r="N29" i="3"/>
  <c r="P28" i="3"/>
  <c r="N28" i="3"/>
  <c r="P27" i="3"/>
  <c r="N27" i="3"/>
  <c r="P26" i="3"/>
  <c r="N26" i="3"/>
  <c r="P25" i="3"/>
  <c r="N25" i="3"/>
  <c r="P24" i="3"/>
  <c r="N24" i="3"/>
  <c r="P23" i="3"/>
  <c r="N23" i="3"/>
  <c r="P22" i="3"/>
  <c r="N22" i="3"/>
  <c r="P21" i="3"/>
  <c r="N21" i="3"/>
  <c r="P20" i="3"/>
  <c r="N20" i="3"/>
  <c r="O55" i="3"/>
  <c r="M55" i="3"/>
  <c r="L55" i="3"/>
  <c r="K55" i="3"/>
  <c r="J55" i="3"/>
  <c r="H55" i="3"/>
  <c r="G55" i="3"/>
  <c r="E55" i="3"/>
  <c r="D55" i="3"/>
  <c r="C55" i="3"/>
  <c r="N55" i="3" s="1"/>
  <c r="P18" i="3"/>
  <c r="N18" i="3"/>
  <c r="P17" i="3"/>
  <c r="N17" i="3"/>
  <c r="P16" i="3"/>
  <c r="N16" i="3"/>
  <c r="P15" i="3"/>
  <c r="N15" i="3"/>
  <c r="P14" i="3"/>
  <c r="N14" i="3"/>
  <c r="P13" i="3"/>
  <c r="N13" i="3"/>
  <c r="P12" i="3"/>
  <c r="N12" i="3"/>
  <c r="P11" i="3"/>
  <c r="N11" i="3"/>
  <c r="P10" i="3"/>
  <c r="N10" i="3"/>
  <c r="P9" i="3"/>
  <c r="N9" i="3"/>
  <c r="O54" i="3"/>
  <c r="M54" i="3"/>
  <c r="L54" i="3"/>
  <c r="P8" i="3"/>
  <c r="J54" i="3"/>
  <c r="H54" i="3"/>
  <c r="G54" i="3"/>
  <c r="E54" i="3"/>
  <c r="D54" i="3"/>
  <c r="C54" i="3"/>
  <c r="N54" i="3" s="1"/>
  <c r="P7" i="3"/>
  <c r="N7" i="3"/>
  <c r="P6" i="3"/>
  <c r="N6" i="3"/>
  <c r="P5" i="3"/>
  <c r="N5" i="3"/>
  <c r="P4" i="3"/>
  <c r="N4" i="3"/>
  <c r="O53" i="3"/>
  <c r="M53" i="3"/>
  <c r="L53" i="3"/>
  <c r="K53" i="3"/>
  <c r="J53" i="3"/>
  <c r="H53" i="3"/>
  <c r="G53" i="3"/>
  <c r="E53" i="3"/>
  <c r="D53" i="3"/>
  <c r="C53" i="3"/>
  <c r="N53" i="3" s="1"/>
  <c r="O50" i="3"/>
  <c r="P2" i="3"/>
  <c r="N2" i="3"/>
  <c r="P53" i="3" l="1"/>
  <c r="P55" i="3"/>
  <c r="N3" i="3"/>
  <c r="N8" i="3"/>
  <c r="N19" i="3"/>
  <c r="K54" i="3"/>
  <c r="P54" i="3" s="1"/>
  <c r="P3" i="3"/>
  <c r="P19" i="3"/>
  <c r="P50" i="3" l="1"/>
  <c r="N50" i="3"/>
  <c r="L21" i="1"/>
  <c r="B29" i="1"/>
  <c r="B30" i="1" s="1"/>
  <c r="B33" i="1"/>
  <c r="B24" i="1"/>
  <c r="B26" i="1"/>
  <c r="B25" i="1"/>
  <c r="B20" i="1"/>
  <c r="B17" i="1"/>
  <c r="B15" i="1"/>
  <c r="B13" i="1"/>
  <c r="J13" i="1" s="1"/>
  <c r="B9" i="1"/>
  <c r="B6" i="1"/>
  <c r="J21" i="1"/>
  <c r="G21" i="1"/>
  <c r="K21" i="1"/>
  <c r="I21" i="1"/>
  <c r="M21" i="1"/>
  <c r="N21" i="1"/>
  <c r="F21" i="1"/>
  <c r="H21" i="1"/>
  <c r="C20" i="1"/>
  <c r="C15" i="1"/>
  <c r="E21" i="1"/>
  <c r="N13" i="1" l="1"/>
  <c r="M13" i="1"/>
  <c r="L13" i="1"/>
  <c r="B21" i="1"/>
  <c r="G13" i="1"/>
  <c r="E13" i="1"/>
  <c r="C13" i="1"/>
  <c r="I13" i="1"/>
  <c r="H13" i="1"/>
  <c r="K13" i="1"/>
  <c r="F13" i="1"/>
  <c r="C29" i="1"/>
  <c r="C25" i="1"/>
  <c r="B18" i="1"/>
  <c r="L22" i="1"/>
  <c r="L34" i="1" s="1"/>
  <c r="L35" i="1" s="1"/>
  <c r="L39" i="1" s="1"/>
  <c r="G22" i="1"/>
  <c r="G34" i="1" s="1"/>
  <c r="G35" i="1" s="1"/>
  <c r="G39" i="1" s="1"/>
  <c r="N22" i="1"/>
  <c r="N34" i="1" s="1"/>
  <c r="N35" i="1" s="1"/>
  <c r="N42" i="1" s="1"/>
  <c r="J22" i="1"/>
  <c r="J34" i="1" s="1"/>
  <c r="J35" i="1" s="1"/>
  <c r="J42" i="1" s="1"/>
  <c r="M22" i="1"/>
  <c r="M34" i="1" s="1"/>
  <c r="M35" i="1" s="1"/>
  <c r="M39" i="1" s="1"/>
  <c r="H22" i="1"/>
  <c r="H34" i="1" s="1"/>
  <c r="H35" i="1" s="1"/>
  <c r="H39" i="1" s="1"/>
  <c r="I22" i="1"/>
  <c r="I34" i="1" s="1"/>
  <c r="I35" i="1" s="1"/>
  <c r="I42" i="1" s="1"/>
  <c r="B28" i="1"/>
  <c r="F40" i="1" s="1"/>
  <c r="K22" i="1"/>
  <c r="K34" i="1" s="1"/>
  <c r="K35" i="1" s="1"/>
  <c r="K42" i="1" s="1"/>
  <c r="F22" i="1"/>
  <c r="F34" i="1" s="1"/>
  <c r="F35" i="1" s="1"/>
  <c r="L42" i="1" l="1"/>
  <c r="G42" i="1"/>
  <c r="H42" i="1"/>
  <c r="M42" i="1"/>
  <c r="N39" i="1"/>
  <c r="I39" i="1"/>
  <c r="J39" i="1"/>
  <c r="K39" i="1"/>
  <c r="I40" i="1"/>
  <c r="N40" i="1"/>
  <c r="J40" i="1"/>
  <c r="J41" i="1" s="1"/>
  <c r="J44" i="1" s="1"/>
  <c r="L40" i="1"/>
  <c r="L41" i="1" s="1"/>
  <c r="L44" i="1" s="1"/>
  <c r="H40" i="1"/>
  <c r="H41" i="1" s="1"/>
  <c r="H44" i="1" s="1"/>
  <c r="B31" i="1"/>
  <c r="K40" i="1"/>
  <c r="G40" i="1"/>
  <c r="G41" i="1" s="1"/>
  <c r="G44" i="1" s="1"/>
  <c r="M40" i="1"/>
  <c r="M41" i="1" s="1"/>
  <c r="M44" i="1" s="1"/>
  <c r="F42" i="1"/>
  <c r="F39" i="1"/>
  <c r="F41" i="1" s="1"/>
  <c r="F44" i="1" s="1"/>
  <c r="C9" i="1"/>
  <c r="B10" i="1" s="1"/>
  <c r="B11" i="1" s="1"/>
  <c r="E22" i="1"/>
  <c r="E34" i="1" s="1"/>
  <c r="E35" i="1" s="1"/>
  <c r="E40" i="1"/>
  <c r="I41" i="1" l="1"/>
  <c r="I44" i="1" s="1"/>
  <c r="N41" i="1"/>
  <c r="N44" i="1" s="1"/>
  <c r="K41" i="1"/>
  <c r="K44" i="1" s="1"/>
  <c r="C40" i="1"/>
  <c r="E42" i="1"/>
  <c r="C42" i="1" s="1"/>
  <c r="E39" i="1"/>
  <c r="E41" i="1" l="1"/>
  <c r="C39" i="1"/>
  <c r="E44" i="1" l="1"/>
  <c r="O44" i="1" s="1"/>
  <c r="C41" i="1"/>
  <c r="B42" i="1"/>
  <c r="B36" i="1"/>
  <c r="B22" i="1" s="1"/>
</calcChain>
</file>

<file path=xl/sharedStrings.xml><?xml version="1.0" encoding="utf-8"?>
<sst xmlns="http://schemas.openxmlformats.org/spreadsheetml/2006/main" count="787" uniqueCount="537">
  <si>
    <t>Enter District Number:</t>
  </si>
  <si>
    <t>DISTRICT</t>
  </si>
  <si>
    <t>At-risk Pupil Count</t>
  </si>
  <si>
    <t>Funded Pupil Count</t>
  </si>
  <si>
    <t>K-12 Membership</t>
  </si>
  <si>
    <t>Adjusted District Per-Pupil Revenue</t>
  </si>
  <si>
    <t>District Per-Pupil Revenue</t>
  </si>
  <si>
    <t>Total At-Risk Funding</t>
  </si>
  <si>
    <t>TOTAL PROGRAM</t>
  </si>
  <si>
    <t>Total Program Funding</t>
  </si>
  <si>
    <t>Less: Charter School Count</t>
  </si>
  <si>
    <t>District Adjusted Pupil Count</t>
  </si>
  <si>
    <t>District Per Pupil At-Risk Funding</t>
  </si>
  <si>
    <t xml:space="preserve">Total Formula Per Pupil Funding </t>
  </si>
  <si>
    <t>Charter Total Program (Adjusted)</t>
  </si>
  <si>
    <t>Charter Total Program (Unadjusted)</t>
  </si>
  <si>
    <t>Adjusted Charter Per-Pupil Revenue</t>
  </si>
  <si>
    <t>At-risk Funding to (from) Charter</t>
  </si>
  <si>
    <t>Adjusted At-risk Per Pupil Funding</t>
  </si>
  <si>
    <t>CALCULATION ELEMENTS</t>
  </si>
  <si>
    <t>Percentage of Pupils Eligible for Free Lunch (At-risk Pupil Count divided by K-12 Membership)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</si>
  <si>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</si>
  <si>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</si>
  <si>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</si>
  <si>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</si>
  <si>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</si>
  <si>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</si>
  <si>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</si>
  <si>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</si>
  <si>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</si>
  <si>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</si>
  <si>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</si>
  <si>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</si>
  <si>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</si>
  <si>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</si>
  <si>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</si>
  <si>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</si>
  <si>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</si>
  <si>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</si>
  <si>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</si>
  <si>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</si>
  <si>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</si>
  <si>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</si>
  <si>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</si>
  <si>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</si>
  <si>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</si>
  <si>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</si>
  <si>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</si>
  <si>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</si>
  <si>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</si>
  <si>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</si>
  <si>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</si>
  <si>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</si>
  <si>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</si>
  <si>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</si>
  <si>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</si>
  <si>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</si>
  <si>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</si>
  <si>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</si>
  <si>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</si>
  <si>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</si>
  <si>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</si>
  <si>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</si>
  <si>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</si>
  <si>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</si>
  <si>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</si>
  <si>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</si>
  <si>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</si>
  <si>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</si>
  <si>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</si>
  <si>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</si>
  <si>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</si>
  <si>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</si>
  <si>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</si>
  <si>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</si>
  <si>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</si>
  <si>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</si>
  <si>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</si>
  <si>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</si>
  <si>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</si>
  <si>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</si>
  <si>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</si>
  <si>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</si>
  <si>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</si>
  <si>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</si>
  <si>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</si>
  <si>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</si>
  <si>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</si>
  <si>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</si>
  <si>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</si>
  <si>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</si>
  <si>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</si>
  <si>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</si>
  <si>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</si>
  <si>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</si>
  <si>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</si>
  <si>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</si>
  <si>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</si>
  <si>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</si>
  <si>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</si>
  <si>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</si>
  <si>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</si>
  <si>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</si>
  <si>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</si>
  <si>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</si>
  <si>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</si>
  <si>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</si>
  <si>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</si>
  <si>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</si>
  <si>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</si>
  <si>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</si>
  <si>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</si>
  <si>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</si>
  <si>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</si>
  <si>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</si>
  <si>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</si>
  <si>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</si>
  <si>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</si>
  <si>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</si>
  <si>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</si>
  <si>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</si>
  <si>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</si>
  <si>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</si>
  <si>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</si>
  <si>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</si>
  <si>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</si>
  <si>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</si>
  <si>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</si>
  <si>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</si>
  <si>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</si>
  <si>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</si>
  <si>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</si>
  <si>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</si>
  <si>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</si>
  <si>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</si>
  <si>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</si>
  <si>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</si>
  <si>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</si>
  <si>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</si>
  <si>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</si>
  <si>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</si>
  <si>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</si>
  <si>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</si>
  <si>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</si>
  <si>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</si>
  <si>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</si>
  <si>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</si>
  <si>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</si>
  <si>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</si>
  <si>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</si>
  <si>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</si>
  <si>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</si>
  <si>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</si>
  <si>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</si>
  <si>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</si>
  <si>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</si>
  <si>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</si>
  <si>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</si>
  <si>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</si>
  <si>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</si>
  <si>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</si>
  <si>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</si>
  <si>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</si>
  <si>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</si>
  <si>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</si>
  <si>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</si>
  <si>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</si>
  <si>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</si>
  <si>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</si>
  <si>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</si>
  <si>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</si>
  <si>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</si>
  <si>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</si>
  <si>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</si>
  <si>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</si>
  <si>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</si>
  <si>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</si>
  <si>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</si>
  <si>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</si>
  <si>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</si>
  <si>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</si>
  <si>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</si>
  <si>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</si>
  <si>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</si>
  <si>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</si>
  <si>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</si>
  <si>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</si>
  <si>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</si>
  <si>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</si>
  <si>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</si>
  <si>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</si>
  <si>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</si>
  <si>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</si>
  <si>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</si>
  <si>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</si>
  <si>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</si>
  <si>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</si>
  <si>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</si>
  <si>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</si>
  <si>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</si>
  <si>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</si>
  <si>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</si>
  <si>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</si>
  <si>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</si>
  <si>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</si>
  <si>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</si>
  <si>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</si>
  <si>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</si>
  <si>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</si>
  <si>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</si>
  <si>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</si>
  <si>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</si>
  <si>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</si>
  <si>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</si>
  <si>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</si>
  <si>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</si>
  <si>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</si>
  <si>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</si>
  <si>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</si>
  <si>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</si>
  <si>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</si>
  <si>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</si>
  <si>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</si>
  <si>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</si>
  <si>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</si>
  <si>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</si>
  <si>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</si>
  <si>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</si>
  <si>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</si>
  <si>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</si>
  <si>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</si>
  <si>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</si>
  <si>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District Code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</si>
  <si>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</si>
  <si>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</si>
  <si>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</si>
  <si>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</si>
  <si>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</si>
  <si>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</si>
  <si>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</si>
  <si>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</si>
  <si>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</si>
  <si>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</si>
  <si>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</si>
  <si>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</si>
  <si>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</si>
  <si>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</si>
  <si>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</si>
  <si>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</si>
  <si>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</si>
  <si>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</si>
  <si>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</si>
  <si>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</si>
  <si>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</si>
  <si>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</si>
  <si>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</si>
  <si>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</si>
  <si>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</si>
  <si>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</si>
  <si>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</si>
  <si>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</si>
  <si>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</si>
  <si>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</si>
  <si>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</si>
  <si>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</si>
  <si>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</si>
  <si>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</si>
  <si>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</si>
  <si>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</si>
  <si>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</si>
  <si>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</si>
  <si>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</si>
  <si>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</si>
  <si>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</si>
  <si>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</si>
  <si>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</si>
  <si>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</si>
  <si>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</si>
  <si>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</si>
  <si>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</si>
  <si>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</si>
  <si>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</si>
  <si>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</si>
  <si>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</si>
  <si>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</si>
  <si>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</si>
  <si>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</si>
  <si>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</si>
  <si>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</si>
  <si>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</si>
  <si>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</si>
  <si>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</si>
  <si>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</si>
  <si>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</si>
  <si>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</si>
  <si>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</si>
  <si>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</si>
  <si>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</si>
  <si>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</si>
  <si>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</si>
  <si>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</si>
  <si>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</si>
  <si>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</si>
  <si>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</si>
  <si>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</si>
  <si>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</si>
  <si>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</si>
  <si>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</si>
  <si>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</si>
  <si>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</si>
  <si>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</si>
  <si>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</si>
  <si>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</si>
  <si>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</si>
  <si>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</si>
  <si>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</si>
  <si>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</si>
  <si>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</si>
  <si>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</si>
  <si>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</si>
  <si>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</si>
  <si>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</si>
  <si>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</si>
  <si>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</si>
  <si>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</si>
  <si>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</si>
  <si>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</si>
  <si>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</si>
  <si>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</si>
  <si>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</si>
  <si>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</si>
  <si>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</si>
  <si>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</si>
  <si>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</si>
  <si>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</si>
  <si>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</si>
  <si>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</si>
  <si>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</si>
  <si>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</si>
  <si>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</si>
  <si>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</si>
  <si>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</si>
  <si>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</si>
  <si>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</si>
  <si>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</si>
  <si>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</si>
  <si>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</si>
  <si>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</si>
  <si>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</si>
  <si>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</si>
  <si>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</si>
  <si>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</si>
  <si>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</si>
  <si>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</si>
  <si>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</si>
  <si>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</si>
  <si>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</si>
  <si>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</si>
  <si>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</si>
  <si>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</si>
  <si>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</si>
  <si>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</si>
  <si>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</si>
  <si>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</si>
  <si>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</si>
  <si>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</si>
  <si>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</si>
  <si>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</si>
  <si>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</si>
  <si>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</si>
  <si>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</si>
  <si>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</si>
  <si>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</si>
  <si>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</si>
  <si>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</si>
  <si>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</si>
  <si>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</si>
  <si>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</si>
  <si>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</si>
  <si>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</si>
  <si>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</si>
  <si>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</si>
  <si>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</si>
  <si>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</si>
  <si>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</si>
  <si>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</si>
  <si>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</si>
  <si>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</si>
  <si>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</si>
  <si>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</si>
  <si>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</si>
  <si>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</si>
  <si>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</si>
  <si>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</si>
  <si>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</si>
  <si>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</si>
  <si>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</si>
  <si>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</si>
  <si>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</si>
  <si>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</si>
  <si>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</si>
  <si>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</si>
  <si>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</si>
  <si>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</si>
  <si>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</si>
  <si>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</si>
  <si>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</si>
  <si>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</si>
  <si>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</si>
  <si>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</si>
  <si>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</si>
  <si>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At-Risk Pupil Count</t>
  </si>
  <si>
    <t>Charter School Totals</t>
  </si>
  <si>
    <t>County</t>
  </si>
  <si>
    <t>District</t>
  </si>
  <si>
    <t>District Name</t>
  </si>
  <si>
    <t xml:space="preserve">Instructions: </t>
  </si>
  <si>
    <t>Step 1 - Enter district number</t>
  </si>
  <si>
    <t xml:space="preserve">Step 2 - Enter charter school fields indicated by yellow highlight.  </t>
  </si>
  <si>
    <t>Revised Total Program Funding</t>
  </si>
  <si>
    <t>SBSF</t>
  </si>
  <si>
    <t xml:space="preserve"> </t>
  </si>
  <si>
    <t>Charter Per-Pupil Revenue (greater of floor or adjusted)</t>
  </si>
  <si>
    <t>Charter School</t>
  </si>
  <si>
    <t>Budget Stabilization Factor Total/Per Pupil</t>
  </si>
  <si>
    <t>Rescission</t>
  </si>
  <si>
    <t>Minimum Floor Funding after Rescission</t>
  </si>
  <si>
    <t>Floor Funding (after BS Factor/Rescission)</t>
  </si>
  <si>
    <t>Budget Stabilization Factor Total Program Funding</t>
  </si>
  <si>
    <t>Rescission/Per Pupil</t>
  </si>
  <si>
    <t>District Per-Pupil Revenue after Rescission</t>
  </si>
  <si>
    <t>Revised Total Program Funding after Rescission</t>
  </si>
  <si>
    <t>0015</t>
  </si>
  <si>
    <t>3439</t>
  </si>
  <si>
    <t>0654;6913;6914</t>
  </si>
  <si>
    <t>SCHOOL_CODE</t>
  </si>
  <si>
    <t>CSI_K_12_FTE_CNT</t>
  </si>
  <si>
    <t>CSI_KIND_FTE_CNT</t>
  </si>
  <si>
    <t>CSI_HALF_DAY_KIND</t>
  </si>
  <si>
    <t>CSI_ONLINE_CNT</t>
  </si>
  <si>
    <t>CSI_CPP_CNT</t>
  </si>
  <si>
    <t>CSI_SPECED_CNT</t>
  </si>
  <si>
    <t>CSI_ASCENT_CNT</t>
  </si>
  <si>
    <t>CSI_FL_1_8_CNT</t>
  </si>
  <si>
    <t>CSI_FL_K_12_CNT</t>
  </si>
  <si>
    <t>CSI_MEM_1_8_CNT</t>
  </si>
  <si>
    <t>CSI_MEM_K_12_CNT</t>
  </si>
  <si>
    <t>FPC</t>
  </si>
  <si>
    <t>ELL</t>
  </si>
  <si>
    <t>TOT_AT_RISK</t>
  </si>
  <si>
    <t>0654</t>
  </si>
  <si>
    <t>4699</t>
  </si>
  <si>
    <t>6913</t>
  </si>
  <si>
    <t>6914</t>
  </si>
  <si>
    <t>1882</t>
  </si>
  <si>
    <t>9037</t>
  </si>
  <si>
    <t>9040</t>
  </si>
  <si>
    <t>0655</t>
  </si>
  <si>
    <t>2837</t>
  </si>
  <si>
    <t>7278</t>
  </si>
  <si>
    <t>1633</t>
  </si>
  <si>
    <t>3513</t>
  </si>
  <si>
    <t>5957</t>
  </si>
  <si>
    <t>6219</t>
  </si>
  <si>
    <t>6266</t>
  </si>
  <si>
    <t>8061</t>
  </si>
  <si>
    <t>2196</t>
  </si>
  <si>
    <t>0653</t>
  </si>
  <si>
    <t>0035</t>
  </si>
  <si>
    <t>1371</t>
  </si>
  <si>
    <t>1505</t>
  </si>
  <si>
    <t>1791</t>
  </si>
  <si>
    <t>1795</t>
  </si>
  <si>
    <t>3326</t>
  </si>
  <si>
    <t>4403</t>
  </si>
  <si>
    <t>5147</t>
  </si>
  <si>
    <t>5851</t>
  </si>
  <si>
    <t>8825</t>
  </si>
  <si>
    <t>5431</t>
  </si>
  <si>
    <t>7512</t>
  </si>
  <si>
    <t>8821</t>
  </si>
  <si>
    <t>4277</t>
  </si>
  <si>
    <t>3393</t>
  </si>
  <si>
    <t>0075</t>
  </si>
  <si>
    <t>5453</t>
  </si>
  <si>
    <t>0657</t>
  </si>
  <si>
    <t>2067</t>
  </si>
  <si>
    <t>3399</t>
  </si>
  <si>
    <t>0149</t>
  </si>
  <si>
    <t>0493</t>
  </si>
  <si>
    <t>1387</t>
  </si>
  <si>
    <t>1279</t>
  </si>
  <si>
    <t>5845</t>
  </si>
  <si>
    <t>5423</t>
  </si>
  <si>
    <t>1882;9037;9040</t>
  </si>
  <si>
    <t>6266;3513</t>
  </si>
  <si>
    <t>School Code</t>
  </si>
  <si>
    <t>School Name</t>
  </si>
  <si>
    <t>The Academy of Charter Schools</t>
  </si>
  <si>
    <t>GVA - Northglenn</t>
  </si>
  <si>
    <t>Pinnacle Charter School</t>
  </si>
  <si>
    <t>Colorado Early Colleges Aurora</t>
  </si>
  <si>
    <t>Montessori del Mundo</t>
  </si>
  <si>
    <t>New America School</t>
  </si>
  <si>
    <t>New Legacy High School</t>
  </si>
  <si>
    <t>Coperni 3</t>
  </si>
  <si>
    <t>Colorado Military Academy</t>
  </si>
  <si>
    <t>Colorado Springs Charter Academy</t>
  </si>
  <si>
    <t>Colorado Springs Early Colleges</t>
  </si>
  <si>
    <t>GVA - Colorado Springs</t>
  </si>
  <si>
    <t>James Irwin - Colorado Springs</t>
  </si>
  <si>
    <t>Launch High School</t>
  </si>
  <si>
    <t>Coperni 2</t>
  </si>
  <si>
    <t>Mountain Song Community School</t>
  </si>
  <si>
    <t>Maclaren Charter School</t>
  </si>
  <si>
    <t>Community Leadership Academy</t>
  </si>
  <si>
    <t xml:space="preserve">Academy at High Point </t>
  </si>
  <si>
    <t>Colorado Early Colleges Douglas</t>
  </si>
  <si>
    <t>Animas Charter School</t>
  </si>
  <si>
    <t>Mountain Middle School</t>
  </si>
  <si>
    <t xml:space="preserve">Stone Creek Elementary </t>
  </si>
  <si>
    <t>Indian Peaks Charter</t>
  </si>
  <si>
    <t>Golden View Charter Academy</t>
  </si>
  <si>
    <t>Caprock Academy</t>
  </si>
  <si>
    <t>Monument View Montessori</t>
  </si>
  <si>
    <t>Colorado Early Colleges Fort Collins West</t>
  </si>
  <si>
    <t>Axis International Academy</t>
  </si>
  <si>
    <t xml:space="preserve">Academy of Arts &amp; Knowledge </t>
  </si>
  <si>
    <t>Colorado Early Colleges Windsor</t>
  </si>
  <si>
    <t>Early Colleges Ft. Collins</t>
  </si>
  <si>
    <t xml:space="preserve">Ross Montessori </t>
  </si>
  <si>
    <t>Two Rivers Charter School</t>
  </si>
  <si>
    <t>Salida Montessori</t>
  </si>
  <si>
    <t>Mountain Village Montessori</t>
  </si>
  <si>
    <t>Crown Pointe</t>
  </si>
  <si>
    <t>Early College of Arvada</t>
  </si>
  <si>
    <t>Ricardo Flores Magnon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</si>
</sst>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.0_);_(* \(#,##0.0\);_(* &quot;-&quot;?_);_(@_)"/>
    <numFmt numFmtId="166" formatCode="_(* #,##0.0_);_(* \(#,##0.0\);_(* &quot;-&quot;??_);_(@_)"/>
    <numFmt numFmtId="167" formatCode="0.0000"/>
    <numFmt numFmtId="168" formatCode="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3" fontId="2" fillId="0" borderId="0" applyFont="0" applyFill="0" applyBorder="0" applyAlignment="0" applyProtection="0"/>
    <xf numFmtId="40" fontId="6" fillId="0" borderId="0"/>
    <xf numFmtId="40" fontId="6" fillId="0" borderId="0"/>
    <xf numFmtId="40" fontId="6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39" fontId="0" fillId="0" borderId="0" xfId="0" applyNumberFormat="1"/>
    <xf numFmtId="49" fontId="0" fillId="2" borderId="0" xfId="0" applyNumberFormat="1" applyFill="1" applyAlignment="1">
      <alignment horizontal="right"/>
    </xf>
    <xf numFmtId="0" fontId="5" fillId="0" borderId="0" xfId="0" applyFont="1"/>
    <xf numFmtId="0" fontId="3" fillId="0" borderId="0" xfId="0" applyFont="1"/>
    <xf numFmtId="40" fontId="7" fillId="0" borderId="0" xfId="0" applyNumberFormat="1" applyFont="1" applyFill="1" applyBorder="1" applyAlignment="1">
      <alignment wrapText="1"/>
    </xf>
    <xf numFmtId="40" fontId="3" fillId="0" borderId="0" xfId="2" applyFont="1" applyAlignment="1">
      <alignment wrapText="1"/>
    </xf>
    <xf numFmtId="0" fontId="4" fillId="0" borderId="0" xfId="0" applyFont="1"/>
    <xf numFmtId="0" fontId="0" fillId="0" borderId="0" xfId="0" applyFont="1" applyFill="1" applyBorder="1"/>
    <xf numFmtId="4" fontId="0" fillId="0" borderId="0" xfId="0" applyNumberFormat="1" applyFont="1" applyFill="1" applyBorder="1"/>
    <xf numFmtId="40" fontId="0" fillId="0" borderId="0" xfId="0" applyNumberFormat="1" applyFont="1" applyFill="1" applyBorder="1"/>
    <xf numFmtId="49" fontId="0" fillId="0" borderId="0" xfId="0" quotePrefix="1" applyNumberFormat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vertical="top" wrapText="1"/>
    </xf>
    <xf numFmtId="0" fontId="2" fillId="0" borderId="0" xfId="5" applyFont="1" applyFill="1" applyAlignment="1"/>
    <xf numFmtId="168" fontId="2" fillId="0" borderId="0" xfId="5" applyNumberFormat="1" applyFill="1" applyAlignment="1"/>
    <xf numFmtId="1" fontId="2" fillId="0" borderId="0" xfId="5" applyNumberFormat="1" applyFill="1" applyAlignment="1"/>
    <xf numFmtId="1" fontId="2" fillId="0" borderId="0" xfId="5" applyNumberFormat="1" applyFont="1" applyFill="1" applyAlignment="1"/>
    <xf numFmtId="0" fontId="2" fillId="0" borderId="0" xfId="5" applyFill="1" applyAlignment="1"/>
    <xf numFmtId="0" fontId="2" fillId="0" borderId="0" xfId="5"/>
    <xf numFmtId="0" fontId="2" fillId="0" borderId="0" xfId="5" quotePrefix="1" applyFont="1"/>
    <xf numFmtId="168" fontId="2" fillId="0" borderId="0" xfId="5" applyNumberFormat="1"/>
    <xf numFmtId="164" fontId="2" fillId="0" borderId="0" xfId="5" applyNumberFormat="1"/>
    <xf numFmtId="1" fontId="2" fillId="0" borderId="0" xfId="5" applyNumberFormat="1"/>
    <xf numFmtId="40" fontId="2" fillId="0" borderId="0" xfId="5" applyNumberFormat="1" applyFill="1" applyAlignment="1" applyProtection="1">
      <alignment horizontal="left"/>
    </xf>
    <xf numFmtId="0" fontId="2" fillId="0" borderId="0" xfId="5" quotePrefix="1" applyFont="1" applyFill="1"/>
    <xf numFmtId="168" fontId="2" fillId="0" borderId="0" xfId="5" applyNumberFormat="1" applyFill="1"/>
    <xf numFmtId="164" fontId="2" fillId="0" borderId="0" xfId="5" applyNumberFormat="1" applyFill="1"/>
    <xf numFmtId="1" fontId="2" fillId="0" borderId="0" xfId="5" applyNumberFormat="1" applyFill="1"/>
    <xf numFmtId="0" fontId="2" fillId="0" borderId="0" xfId="5" applyFill="1"/>
    <xf numFmtId="0" fontId="1" fillId="0" borderId="0" xfId="6" applyFill="1"/>
    <xf numFmtId="0" fontId="1" fillId="0" borderId="0" xfId="6"/>
    <xf numFmtId="0" fontId="2" fillId="0" borderId="0" xfId="5" quotePrefix="1" applyFont="1" applyFill="1" applyAlignment="1"/>
    <xf numFmtId="164" fontId="2" fillId="0" borderId="0" xfId="5" applyNumberFormat="1" applyFill="1" applyBorder="1"/>
    <xf numFmtId="0" fontId="2" fillId="0" borderId="0" xfId="5" quotePrefix="1"/>
    <xf numFmtId="40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40" fontId="4" fillId="0" borderId="0" xfId="0" applyNumberFormat="1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quotePrefix="1" applyFont="1"/>
  </cellXfs>
  <cellStyles count="7">
    <cellStyle name="Comma0" xfId="1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3" xfId="6" xr:uid="{00000000-0005-0000-0000-000004000000}"/>
    <cellStyle name="Normal 5" xfId="3" xr:uid="{00000000-0005-0000-0000-000005000000}"/>
    <cellStyle name="Normal 5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FU\Institute%20Charter\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="85" workbookViewId="0">
      <selection activeCell="B5" sqref="B5"/>
    </sheetView>
  </sheetViews>
  <sheetFormatPr defaultRowHeight="12.75" x14ac:dyDescent="0.2"/>
  <cols>
    <col min="1" max="1" width="56.5703125" bestFit="1" customWidth="1"/>
    <col min="2" max="2" width="18.42578125" customWidth="1"/>
    <col min="3" max="3" width="13.85546875" customWidth="1"/>
    <col min="4" max="4" width="6" customWidth="1"/>
    <col min="5" max="7" width="14.42578125" bestFit="1" customWidth="1"/>
    <col min="8" max="8" width="10.140625" customWidth="1"/>
    <col min="9" max="10" width="10.42578125" customWidth="1"/>
    <col min="11" max="11" width="10" customWidth="1"/>
    <col min="12" max="12" width="10.5703125" customWidth="1"/>
    <col min="13" max="13" width="10" customWidth="1"/>
    <col min="14" max="14" width="10.5703125" customWidth="1"/>
    <col min="15" max="15" width="10.85546875" bestFit="1" customWidth="1"/>
  </cols>
  <sheetData>
    <row r="1" spans="1:14" x14ac:dyDescent="0.2">
      <c r="A1" s="18" t="s">
        <v>416</v>
      </c>
    </row>
    <row r="2" spans="1:14" x14ac:dyDescent="0.2">
      <c r="A2" t="s">
        <v>417</v>
      </c>
    </row>
    <row r="3" spans="1:14" x14ac:dyDescent="0.2">
      <c r="A3" t="s">
        <v>418</v>
      </c>
    </row>
    <row r="4" spans="1:14" x14ac:dyDescent="0.2">
      <c r="E4" s="22"/>
      <c r="F4" s="22"/>
      <c r="G4" s="23"/>
      <c r="H4" s="24"/>
      <c r="I4" s="24"/>
      <c r="J4" s="24"/>
      <c r="K4" s="24"/>
      <c r="L4" s="24"/>
      <c r="M4" s="24"/>
      <c r="N4" s="24"/>
    </row>
    <row r="5" spans="1:14" ht="15.75" x14ac:dyDescent="0.25">
      <c r="A5" s="14" t="s">
        <v>0</v>
      </c>
      <c r="B5" s="13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7.25" customHeight="1" x14ac:dyDescent="0.2">
      <c r="A6" t="s">
        <v>415</v>
      </c>
      <c r="B6" s="3" t="e">
        <f>VLOOKUP(B5,Inputs,3,3)</f>
        <v>#N/A</v>
      </c>
    </row>
    <row r="7" spans="1:14" ht="25.5" x14ac:dyDescent="0.2">
      <c r="A7" t="s">
        <v>19</v>
      </c>
      <c r="B7" s="3" t="s">
        <v>1</v>
      </c>
      <c r="C7" s="4" t="s">
        <v>412</v>
      </c>
      <c r="D7" s="4"/>
      <c r="E7" s="16" t="s">
        <v>423</v>
      </c>
      <c r="F7" s="17" t="s">
        <v>423</v>
      </c>
      <c r="G7" s="17" t="s">
        <v>423</v>
      </c>
      <c r="H7" s="17" t="s">
        <v>423</v>
      </c>
      <c r="I7" s="17" t="s">
        <v>423</v>
      </c>
      <c r="J7" s="17" t="s">
        <v>423</v>
      </c>
      <c r="K7" s="17" t="s">
        <v>423</v>
      </c>
      <c r="L7" s="17" t="s">
        <v>423</v>
      </c>
      <c r="M7" s="17" t="s">
        <v>423</v>
      </c>
      <c r="N7" s="17" t="s">
        <v>423</v>
      </c>
    </row>
    <row r="9" spans="1:14" x14ac:dyDescent="0.2">
      <c r="A9" t="s">
        <v>3</v>
      </c>
      <c r="B9" s="6" t="e">
        <f>VLOOKUP(B5,Inputs,4,3)</f>
        <v>#N/A</v>
      </c>
      <c r="C9" s="6">
        <f>SUM(E9:N9)</f>
        <v>0</v>
      </c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t="s">
        <v>10</v>
      </c>
      <c r="B10" s="7">
        <f>-C9</f>
        <v>0</v>
      </c>
      <c r="C10" s="7"/>
    </row>
    <row r="11" spans="1:14" x14ac:dyDescent="0.2">
      <c r="A11" t="s">
        <v>11</v>
      </c>
      <c r="B11" s="7" t="e">
        <f>B9+B10</f>
        <v>#N/A</v>
      </c>
      <c r="C11" s="7"/>
    </row>
    <row r="12" spans="1:14" x14ac:dyDescent="0.2">
      <c r="B12" s="7"/>
      <c r="C12" s="7"/>
    </row>
    <row r="13" spans="1:14" x14ac:dyDescent="0.2">
      <c r="A13" s="1" t="s">
        <v>13</v>
      </c>
      <c r="B13" s="8" t="e">
        <f>VLOOKUP(B5,Inputs,6,3)</f>
        <v>#N/A</v>
      </c>
      <c r="C13" s="8" t="e">
        <f>B13</f>
        <v>#N/A</v>
      </c>
      <c r="E13" s="8" t="e">
        <f>$B$13</f>
        <v>#N/A</v>
      </c>
      <c r="F13" s="8" t="e">
        <f t="shared" ref="F13:N13" si="0">$B$13</f>
        <v>#N/A</v>
      </c>
      <c r="G13" s="8" t="e">
        <f t="shared" si="0"/>
        <v>#N/A</v>
      </c>
      <c r="H13" s="8" t="e">
        <f t="shared" si="0"/>
        <v>#N/A</v>
      </c>
      <c r="I13" s="8" t="e">
        <f t="shared" si="0"/>
        <v>#N/A</v>
      </c>
      <c r="J13" s="8" t="e">
        <f t="shared" si="0"/>
        <v>#N/A</v>
      </c>
      <c r="K13" s="8" t="e">
        <f t="shared" si="0"/>
        <v>#N/A</v>
      </c>
      <c r="L13" s="8" t="e">
        <f t="shared" si="0"/>
        <v>#N/A</v>
      </c>
      <c r="M13" s="8" t="e">
        <f t="shared" si="0"/>
        <v>#N/A</v>
      </c>
      <c r="N13" s="8" t="e">
        <f t="shared" si="0"/>
        <v>#N/A</v>
      </c>
    </row>
    <row r="15" spans="1:14" x14ac:dyDescent="0.2">
      <c r="A15" t="s">
        <v>2</v>
      </c>
      <c r="B15" s="6" t="e">
        <f>VLOOKUP(B5,Inputs,5,3)</f>
        <v>#N/A</v>
      </c>
      <c r="C15" s="6">
        <f>SUM(E15:N15)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1"/>
      <c r="B16" s="9"/>
      <c r="C16" s="9"/>
    </row>
    <row r="17" spans="1:14" x14ac:dyDescent="0.2">
      <c r="A17" s="1" t="s">
        <v>7</v>
      </c>
      <c r="B17" s="8" t="e">
        <f>VLOOKUP(B5,Inputs,7,3)</f>
        <v>#N/A</v>
      </c>
      <c r="C17" s="8"/>
    </row>
    <row r="18" spans="1:14" x14ac:dyDescent="0.2">
      <c r="A18" t="s">
        <v>12</v>
      </c>
      <c r="B18" t="e">
        <f>ROUND(B17/B9,2)</f>
        <v>#N/A</v>
      </c>
    </row>
    <row r="20" spans="1:14" x14ac:dyDescent="0.2">
      <c r="A20" t="s">
        <v>4</v>
      </c>
      <c r="B20" s="10" t="e">
        <f>VLOOKUP(B5,Inputs,8,3)</f>
        <v>#N/A</v>
      </c>
      <c r="C20" s="6">
        <f>SUM(E20:N20)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5.5" x14ac:dyDescent="0.2">
      <c r="A21" s="1" t="s">
        <v>20</v>
      </c>
      <c r="B21" s="11" t="e">
        <f>ROUND(B15/B20,4)</f>
        <v>#N/A</v>
      </c>
      <c r="C21" s="11"/>
      <c r="E21" s="11" t="str">
        <f>IFERROR(E15/E20,"")</f>
        <v/>
      </c>
      <c r="F21" s="11" t="str">
        <f>IFERROR(F15/F20,"")</f>
        <v/>
      </c>
      <c r="G21" s="11" t="str">
        <f t="shared" ref="G21:N21" si="1">IFERROR(G15/G20,"")</f>
        <v/>
      </c>
      <c r="H21" s="11" t="str">
        <f t="shared" si="1"/>
        <v/>
      </c>
      <c r="I21" s="11" t="str">
        <f t="shared" si="1"/>
        <v/>
      </c>
      <c r="J21" s="11" t="str">
        <f t="shared" si="1"/>
        <v/>
      </c>
      <c r="K21" s="11" t="str">
        <f t="shared" si="1"/>
        <v/>
      </c>
      <c r="L21" s="11" t="str">
        <f t="shared" si="1"/>
        <v/>
      </c>
      <c r="M21" s="11" t="str">
        <f t="shared" si="1"/>
        <v/>
      </c>
      <c r="N21" s="11" t="str">
        <f t="shared" si="1"/>
        <v/>
      </c>
    </row>
    <row r="22" spans="1:14" x14ac:dyDescent="0.2">
      <c r="A22" t="s">
        <v>18</v>
      </c>
      <c r="B22" s="8" t="e">
        <f>B36-B13</f>
        <v>#N/A</v>
      </c>
      <c r="C22" s="8"/>
      <c r="E22" s="8">
        <f>IFERROR(IF(E9=0,0,ROUND(IF(E9=0,"",($B$17/$B$9)*(E21/$B$21)),2)),"")</f>
        <v>0</v>
      </c>
      <c r="F22" s="8">
        <f>IFERROR(IF(F9=0,0,ROUND(IF(F9=0,"",($B$17/$B$9)*(F21/$B$21)),2)),"")</f>
        <v>0</v>
      </c>
      <c r="G22" s="8">
        <f t="shared" ref="G22:N22" si="2">IFERROR(IF(G9=0,0,ROUND(IF(G9=0,"",($B$17/$B$9)*(G21/$B$21)),2)),"")</f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</row>
    <row r="23" spans="1:14" x14ac:dyDescent="0.2">
      <c r="E23" s="8"/>
      <c r="F23" s="8"/>
    </row>
    <row r="24" spans="1:14" x14ac:dyDescent="0.2">
      <c r="A24" t="s">
        <v>9</v>
      </c>
      <c r="B24" s="8" t="e">
        <f>VLOOKUP(B5,Inputs!A3:M180,9,FALSE)</f>
        <v>#N/A</v>
      </c>
      <c r="C24" s="8"/>
      <c r="E24" s="8"/>
      <c r="F24" s="8"/>
    </row>
    <row r="25" spans="1:14" x14ac:dyDescent="0.2">
      <c r="A25" t="s">
        <v>424</v>
      </c>
      <c r="B25" s="8" t="e">
        <f>VLOOKUP(B5,Inputs!A4:M181,10,FALSE)</f>
        <v>#N/A</v>
      </c>
      <c r="C25" s="8" t="e">
        <f>ROUND(B25/B9,2)</f>
        <v>#N/A</v>
      </c>
      <c r="E25" s="8"/>
      <c r="F25" s="8"/>
    </row>
    <row r="26" spans="1:14" x14ac:dyDescent="0.2">
      <c r="A26" t="s">
        <v>419</v>
      </c>
      <c r="B26" s="8" t="e">
        <f>VLOOKUP(B5,Inputs!A4:M181,12,FALSE)</f>
        <v>#N/A</v>
      </c>
      <c r="C26" s="8"/>
      <c r="E26" s="8"/>
      <c r="F26" s="8"/>
    </row>
    <row r="27" spans="1:14" x14ac:dyDescent="0.2">
      <c r="C27" s="15" t="s">
        <v>421</v>
      </c>
      <c r="E27" s="8"/>
      <c r="F27" s="8"/>
    </row>
    <row r="28" spans="1:14" x14ac:dyDescent="0.2">
      <c r="A28" t="s">
        <v>6</v>
      </c>
      <c r="B28" s="8" t="e">
        <f>B26/B9</f>
        <v>#N/A</v>
      </c>
      <c r="C28" s="8"/>
      <c r="E28" s="8"/>
      <c r="F28" s="8"/>
    </row>
    <row r="29" spans="1:14" x14ac:dyDescent="0.2">
      <c r="A29" t="s">
        <v>429</v>
      </c>
      <c r="B29" s="8" t="e">
        <f>VLOOKUP(B5,Inputs!A4:M181,11,FALSE)</f>
        <v>#N/A</v>
      </c>
      <c r="C29" s="8" t="e">
        <f>B29/B9</f>
        <v>#N/A</v>
      </c>
      <c r="E29" s="8"/>
      <c r="F29" s="8"/>
    </row>
    <row r="30" spans="1:14" x14ac:dyDescent="0.2">
      <c r="A30" t="s">
        <v>431</v>
      </c>
      <c r="B30" s="8" t="e">
        <f>B26+B29</f>
        <v>#N/A</v>
      </c>
      <c r="C30" s="8"/>
      <c r="E30" s="8"/>
      <c r="F30" s="8"/>
    </row>
    <row r="31" spans="1:14" x14ac:dyDescent="0.2">
      <c r="A31" t="s">
        <v>430</v>
      </c>
      <c r="B31" s="8" t="e">
        <f>B28+C29</f>
        <v>#N/A</v>
      </c>
      <c r="C31" s="8"/>
      <c r="E31" s="8"/>
      <c r="F31" s="8"/>
    </row>
    <row r="32" spans="1:14" x14ac:dyDescent="0.2">
      <c r="B32" s="8"/>
      <c r="C32" s="8"/>
      <c r="E32" s="8"/>
      <c r="F32" s="8"/>
    </row>
    <row r="33" spans="1:15" x14ac:dyDescent="0.2">
      <c r="A33" t="s">
        <v>426</v>
      </c>
      <c r="B33" s="8" t="e">
        <f>VLOOKUP(B5,Inputs!A4:M181,13,FALSE)</f>
        <v>#N/A</v>
      </c>
      <c r="C33" s="8"/>
      <c r="E33" s="8"/>
      <c r="F33" s="8"/>
    </row>
    <row r="34" spans="1:15" x14ac:dyDescent="0.2">
      <c r="A34" t="s">
        <v>16</v>
      </c>
      <c r="B34" s="8"/>
      <c r="C34" s="6"/>
      <c r="E34" s="8">
        <f>IFERROR(IF(E9=0,0,E13+E22+$C$25+$C$29),"")</f>
        <v>0</v>
      </c>
      <c r="F34" s="8">
        <f>IFERROR(IF(F9=0,0,F13+F22+$C$25+$C$29),"")</f>
        <v>0</v>
      </c>
      <c r="G34" s="8">
        <f t="shared" ref="G34:N34" si="3">IFERROR(IF(G9=0,0,G13+G22+$C$25+$C$29),"")</f>
        <v>0</v>
      </c>
      <c r="H34" s="8">
        <f t="shared" si="3"/>
        <v>0</v>
      </c>
      <c r="I34" s="8">
        <f t="shared" si="3"/>
        <v>0</v>
      </c>
      <c r="J34" s="8">
        <f t="shared" si="3"/>
        <v>0</v>
      </c>
      <c r="K34" s="8">
        <f t="shared" si="3"/>
        <v>0</v>
      </c>
      <c r="L34" s="8">
        <f t="shared" si="3"/>
        <v>0</v>
      </c>
      <c r="M34" s="8">
        <f t="shared" si="3"/>
        <v>0</v>
      </c>
      <c r="N34" s="8">
        <f t="shared" si="3"/>
        <v>0</v>
      </c>
    </row>
    <row r="35" spans="1:15" x14ac:dyDescent="0.2">
      <c r="A35" s="1" t="s">
        <v>422</v>
      </c>
      <c r="B35" s="8"/>
      <c r="C35" s="6"/>
      <c r="E35" s="8" t="e">
        <f>IF($B$33&gt;E34,$B$33,E34)</f>
        <v>#N/A</v>
      </c>
      <c r="F35" s="8" t="e">
        <f t="shared" ref="F35:N35" si="4">IF($B$33&gt;F34,$B$33,F34)</f>
        <v>#N/A</v>
      </c>
      <c r="G35" s="8" t="e">
        <f t="shared" si="4"/>
        <v>#N/A</v>
      </c>
      <c r="H35" s="8" t="e">
        <f t="shared" si="4"/>
        <v>#N/A</v>
      </c>
      <c r="I35" s="8" t="e">
        <f t="shared" si="4"/>
        <v>#N/A</v>
      </c>
      <c r="J35" s="8" t="e">
        <f t="shared" si="4"/>
        <v>#N/A</v>
      </c>
      <c r="K35" s="8" t="e">
        <f t="shared" si="4"/>
        <v>#N/A</v>
      </c>
      <c r="L35" s="8" t="e">
        <f t="shared" si="4"/>
        <v>#N/A</v>
      </c>
      <c r="M35" s="8" t="e">
        <f t="shared" si="4"/>
        <v>#N/A</v>
      </c>
      <c r="N35" s="8" t="e">
        <f t="shared" si="4"/>
        <v>#N/A</v>
      </c>
    </row>
    <row r="36" spans="1:15" x14ac:dyDescent="0.2">
      <c r="A36" t="s">
        <v>5</v>
      </c>
      <c r="B36" s="8" t="e">
        <f>(B26-C39)/B11</f>
        <v>#N/A</v>
      </c>
      <c r="C36" s="8"/>
      <c r="E36" s="8"/>
      <c r="F36" s="8"/>
    </row>
    <row r="37" spans="1:15" x14ac:dyDescent="0.2">
      <c r="E37" s="8"/>
      <c r="F37" s="8"/>
    </row>
    <row r="38" spans="1:15" x14ac:dyDescent="0.2">
      <c r="E38" s="8"/>
      <c r="F38" s="8"/>
    </row>
    <row r="39" spans="1:15" x14ac:dyDescent="0.2">
      <c r="A39" t="s">
        <v>14</v>
      </c>
      <c r="C39" s="5">
        <f>SUM(E39:N39)</f>
        <v>0</v>
      </c>
      <c r="E39" s="8" t="str">
        <f>IFERROR(E35*E9,"")</f>
        <v/>
      </c>
      <c r="F39" s="8" t="str">
        <f>IFERROR(F35*F9,"")</f>
        <v/>
      </c>
      <c r="G39" s="8" t="str">
        <f t="shared" ref="G39:N39" si="5">IFERROR(G35*G9,"")</f>
        <v/>
      </c>
      <c r="H39" s="8" t="str">
        <f t="shared" si="5"/>
        <v/>
      </c>
      <c r="I39" s="8" t="str">
        <f t="shared" si="5"/>
        <v/>
      </c>
      <c r="J39" s="8" t="str">
        <f t="shared" si="5"/>
        <v/>
      </c>
      <c r="K39" s="8" t="str">
        <f t="shared" si="5"/>
        <v/>
      </c>
      <c r="L39" s="8" t="str">
        <f t="shared" si="5"/>
        <v/>
      </c>
      <c r="M39" s="8" t="str">
        <f t="shared" si="5"/>
        <v/>
      </c>
      <c r="N39" s="8" t="str">
        <f t="shared" si="5"/>
        <v/>
      </c>
    </row>
    <row r="40" spans="1:15" x14ac:dyDescent="0.2">
      <c r="A40" t="s">
        <v>15</v>
      </c>
      <c r="C40" s="5">
        <f>SUM(E40:N40)</f>
        <v>0</v>
      </c>
      <c r="E40" s="8" t="str">
        <f>IFERROR($B$28*E9,"")</f>
        <v/>
      </c>
      <c r="F40" s="8" t="str">
        <f>IFERROR($B$28*F9,"")</f>
        <v/>
      </c>
      <c r="G40" s="8" t="str">
        <f t="shared" ref="G40:N40" si="6">IFERROR($B$28*G9,"")</f>
        <v/>
      </c>
      <c r="H40" s="8" t="str">
        <f t="shared" si="6"/>
        <v/>
      </c>
      <c r="I40" s="8" t="str">
        <f t="shared" si="6"/>
        <v/>
      </c>
      <c r="J40" s="8" t="str">
        <f t="shared" si="6"/>
        <v/>
      </c>
      <c r="K40" s="8" t="str">
        <f t="shared" si="6"/>
        <v/>
      </c>
      <c r="L40" s="8" t="str">
        <f t="shared" si="6"/>
        <v/>
      </c>
      <c r="M40" s="8" t="str">
        <f t="shared" si="6"/>
        <v/>
      </c>
      <c r="N40" s="8" t="str">
        <f t="shared" si="6"/>
        <v/>
      </c>
    </row>
    <row r="41" spans="1:15" x14ac:dyDescent="0.2">
      <c r="A41" t="s">
        <v>17</v>
      </c>
      <c r="B41" s="8"/>
      <c r="C41" s="12">
        <f>SUM(E41:N41)</f>
        <v>0</v>
      </c>
      <c r="E41" s="8" t="str">
        <f>IFERROR(E39-E40,"")</f>
        <v/>
      </c>
      <c r="F41" s="8" t="str">
        <f>IFERROR(F39-F40,"")</f>
        <v/>
      </c>
      <c r="G41" s="8" t="str">
        <f t="shared" ref="G41:N41" si="7">IFERROR(G39-G40,"")</f>
        <v/>
      </c>
      <c r="H41" s="8" t="str">
        <f t="shared" si="7"/>
        <v/>
      </c>
      <c r="I41" s="8" t="str">
        <f t="shared" si="7"/>
        <v/>
      </c>
      <c r="J41" s="8" t="str">
        <f t="shared" si="7"/>
        <v/>
      </c>
      <c r="K41" s="8" t="str">
        <f t="shared" si="7"/>
        <v/>
      </c>
      <c r="L41" s="8" t="str">
        <f t="shared" si="7"/>
        <v/>
      </c>
      <c r="M41" s="8" t="str">
        <f t="shared" si="7"/>
        <v/>
      </c>
      <c r="N41" s="8" t="str">
        <f t="shared" si="7"/>
        <v/>
      </c>
    </row>
    <row r="42" spans="1:15" x14ac:dyDescent="0.2">
      <c r="A42" t="s">
        <v>8</v>
      </c>
      <c r="B42" s="8" t="e">
        <f>B24-C39+B25+B29</f>
        <v>#N/A</v>
      </c>
      <c r="C42" s="5">
        <f>SUM(E42:N42)</f>
        <v>0</v>
      </c>
      <c r="E42" s="8" t="str">
        <f>IFERROR(E35*E9,"")</f>
        <v/>
      </c>
      <c r="F42" s="8" t="str">
        <f>IFERROR(F35*F9,"")</f>
        <v/>
      </c>
      <c r="G42" s="8" t="str">
        <f t="shared" ref="G42:N42" si="8">IFERROR(G35*G9,"")</f>
        <v/>
      </c>
      <c r="H42" s="8" t="str">
        <f t="shared" si="8"/>
        <v/>
      </c>
      <c r="I42" s="8" t="str">
        <f t="shared" si="8"/>
        <v/>
      </c>
      <c r="J42" s="8" t="str">
        <f t="shared" si="8"/>
        <v/>
      </c>
      <c r="K42" s="8" t="str">
        <f t="shared" si="8"/>
        <v/>
      </c>
      <c r="L42" s="8" t="str">
        <f t="shared" si="8"/>
        <v/>
      </c>
      <c r="M42" s="8" t="str">
        <f t="shared" si="8"/>
        <v/>
      </c>
      <c r="N42" s="8" t="str">
        <f t="shared" si="8"/>
        <v/>
      </c>
    </row>
    <row r="44" spans="1:15" x14ac:dyDescent="0.2">
      <c r="C44" s="5"/>
      <c r="E44" s="5" t="str">
        <f>IFERROR(ROUND(E41/7,2),"")</f>
        <v/>
      </c>
      <c r="F44" s="5" t="str">
        <f>IFERROR(ROUND(F41/7,2),"")</f>
        <v/>
      </c>
      <c r="G44" s="5" t="str">
        <f t="shared" ref="G44:N44" si="9">IFERROR(ROUND(G41/7,2),"")</f>
        <v/>
      </c>
      <c r="H44" s="5" t="str">
        <f t="shared" si="9"/>
        <v/>
      </c>
      <c r="I44" s="5" t="str">
        <f t="shared" si="9"/>
        <v/>
      </c>
      <c r="J44" s="5" t="str">
        <f t="shared" si="9"/>
        <v/>
      </c>
      <c r="K44" s="5" t="str">
        <f t="shared" si="9"/>
        <v/>
      </c>
      <c r="L44" s="5" t="str">
        <f t="shared" si="9"/>
        <v/>
      </c>
      <c r="M44" s="5" t="str">
        <f t="shared" si="9"/>
        <v/>
      </c>
      <c r="N44" s="5" t="str">
        <f t="shared" si="9"/>
        <v/>
      </c>
      <c r="O44" s="5">
        <f>SUM(E44:N44)</f>
        <v>0</v>
      </c>
    </row>
  </sheetData>
  <phoneticPr fontId="0" type="noConversion"/>
  <pageMargins left="0.5" right="0.5" top="0.75" bottom="0.75" header="0.25" footer="0.25"/>
  <pageSetup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6"/>
  <sheetViews>
    <sheetView zoomScale="85" workbookViewId="0">
      <pane ySplit="2" topLeftCell="A3" activePane="bottomLeft" state="frozen"/>
      <selection pane="bottomLeft" sqref="A1:M183"/>
    </sheetView>
  </sheetViews>
  <sheetFormatPr defaultColWidth="9.140625" defaultRowHeight="12.75" x14ac:dyDescent="0.2"/>
  <cols>
    <col min="1" max="1" width="8.42578125" style="19" customWidth="1"/>
    <col min="2" max="2" width="14.42578125" style="19" bestFit="1" customWidth="1"/>
    <col min="3" max="3" width="21.85546875" style="19" bestFit="1" customWidth="1"/>
    <col min="4" max="5" width="10.85546875" style="19" bestFit="1" customWidth="1"/>
    <col min="6" max="6" width="12.42578125" style="20" bestFit="1" customWidth="1"/>
    <col min="7" max="7" width="14.5703125" style="19" bestFit="1" customWidth="1"/>
    <col min="8" max="8" width="13.140625" style="19" bestFit="1" customWidth="1"/>
    <col min="9" max="9" width="16.140625" style="19" bestFit="1" customWidth="1"/>
    <col min="10" max="10" width="16.5703125" style="21" bestFit="1" customWidth="1"/>
    <col min="11" max="11" width="16.5703125" style="21" customWidth="1"/>
    <col min="12" max="12" width="17.42578125" style="19" bestFit="1" customWidth="1"/>
    <col min="13" max="13" width="22.5703125" style="19" bestFit="1" customWidth="1"/>
    <col min="14" max="16384" width="9.140625" style="19"/>
  </cols>
  <sheetData>
    <row r="1" spans="1:13" x14ac:dyDescent="0.2">
      <c r="A1"/>
      <c r="B1"/>
      <c r="C1"/>
      <c r="D1"/>
      <c r="E1"/>
      <c r="F1" s="5"/>
      <c r="G1"/>
      <c r="H1"/>
      <c r="I1"/>
      <c r="J1" s="47"/>
      <c r="K1" s="47"/>
      <c r="L1"/>
      <c r="M1"/>
    </row>
    <row r="2" spans="1:13" ht="51" x14ac:dyDescent="0.2">
      <c r="A2" s="48" t="s">
        <v>232</v>
      </c>
      <c r="B2" s="48" t="s">
        <v>413</v>
      </c>
      <c r="C2" s="48" t="s">
        <v>414</v>
      </c>
      <c r="D2" s="49" t="s">
        <v>3</v>
      </c>
      <c r="E2" s="49" t="s">
        <v>411</v>
      </c>
      <c r="F2" s="50" t="s">
        <v>13</v>
      </c>
      <c r="G2" s="49" t="s">
        <v>7</v>
      </c>
      <c r="H2" s="49" t="s">
        <v>4</v>
      </c>
      <c r="I2" s="51" t="s">
        <v>9</v>
      </c>
      <c r="J2" s="52" t="s">
        <v>420</v>
      </c>
      <c r="K2" s="52" t="s">
        <v>425</v>
      </c>
      <c r="L2" s="49" t="s">
        <v>428</v>
      </c>
      <c r="M2" s="49" t="s">
        <v>427</v>
      </c>
    </row>
    <row r="3" spans="1:13" x14ac:dyDescent="0.2">
      <c r="A3"/>
      <c r="B3"/>
      <c r="C3"/>
      <c r="D3"/>
      <c r="E3"/>
      <c r="F3" s="5"/>
      <c r="G3"/>
      <c r="H3"/>
      <c r="I3"/>
      <c r="J3" s="47"/>
      <c r="K3" s="47"/>
      <c r="L3"/>
      <c r="M3"/>
    </row>
    <row r="4" spans="1:13" x14ac:dyDescent="0.2">
      <c r="A4" s="53" t="s">
        <v>233</v>
      </c>
      <c r="B4" s="54" t="s">
        <v>21</v>
      </c>
      <c r="C4" s="54" t="s">
        <v>22</v>
      </c>
      <c r="D4" s="6">
        <v>8980.7999999999993</v>
      </c>
      <c r="E4" s="6">
        <v>4341.1000000000004</v>
      </c>
      <c r="F4" s="47">
        <v>8748.2148796599995</v>
      </c>
      <c r="G4" s="47">
        <v>5036334.18</v>
      </c>
      <c r="H4" s="6">
        <v>8682</v>
      </c>
      <c r="I4" s="47">
        <v>83082193.019999996</v>
      </c>
      <c r="J4" s="47">
        <v>-10609331.05239361</v>
      </c>
      <c r="K4" s="47">
        <v>-28264.515765774413</v>
      </c>
      <c r="L4" s="47">
        <v>72472861.967606381</v>
      </c>
      <c r="M4" s="47">
        <v>7717.7</v>
      </c>
    </row>
    <row r="5" spans="1:13" x14ac:dyDescent="0.2">
      <c r="A5" s="53" t="s">
        <v>234</v>
      </c>
      <c r="B5" s="54" t="s">
        <v>21</v>
      </c>
      <c r="C5" s="54" t="s">
        <v>23</v>
      </c>
      <c r="D5" s="6">
        <v>41998.6</v>
      </c>
      <c r="E5" s="6">
        <v>13847.2</v>
      </c>
      <c r="F5" s="47">
        <v>8779.2325858099994</v>
      </c>
      <c r="G5" s="47">
        <v>14588134.74</v>
      </c>
      <c r="H5" s="6">
        <v>40027</v>
      </c>
      <c r="I5" s="47">
        <v>383301230.08999997</v>
      </c>
      <c r="J5" s="47">
        <v>-48946344.517357379</v>
      </c>
      <c r="K5" s="47">
        <v>-115494.83358628918</v>
      </c>
      <c r="L5" s="47">
        <v>334354885.57264256</v>
      </c>
      <c r="M5" s="47">
        <v>7717.7</v>
      </c>
    </row>
    <row r="6" spans="1:13" x14ac:dyDescent="0.2">
      <c r="A6" s="53" t="s">
        <v>235</v>
      </c>
      <c r="B6" s="54" t="s">
        <v>21</v>
      </c>
      <c r="C6" s="54" t="s">
        <v>24</v>
      </c>
      <c r="D6" s="6">
        <v>7199.6</v>
      </c>
      <c r="E6" s="6">
        <v>4156</v>
      </c>
      <c r="F6" s="47">
        <v>8674.6221350899996</v>
      </c>
      <c r="G6" s="47">
        <v>5847786.0700000003</v>
      </c>
      <c r="H6" s="6">
        <v>6301</v>
      </c>
      <c r="I6" s="47">
        <v>68301595.590000004</v>
      </c>
      <c r="J6" s="47">
        <v>-8721895.9042953942</v>
      </c>
      <c r="K6" s="47">
        <v>-21070.562466003685</v>
      </c>
      <c r="L6" s="47">
        <v>59579699.685704611</v>
      </c>
      <c r="M6" s="47">
        <v>7717.7</v>
      </c>
    </row>
    <row r="7" spans="1:13" x14ac:dyDescent="0.2">
      <c r="A7" s="53" t="s">
        <v>236</v>
      </c>
      <c r="B7" s="54" t="s">
        <v>21</v>
      </c>
      <c r="C7" s="54" t="s">
        <v>25</v>
      </c>
      <c r="D7" s="6">
        <v>19536.5</v>
      </c>
      <c r="E7" s="6">
        <v>5145.1000000000004</v>
      </c>
      <c r="F7" s="47">
        <v>8698.4807869100005</v>
      </c>
      <c r="G7" s="47">
        <v>5370546.4199999999</v>
      </c>
      <c r="H7" s="6">
        <v>19265</v>
      </c>
      <c r="I7" s="47">
        <v>175308416.31</v>
      </c>
      <c r="J7" s="47">
        <v>-22386325.604764704</v>
      </c>
      <c r="K7" s="47">
        <v>-57541.067019314949</v>
      </c>
      <c r="L7" s="47">
        <v>152922090.7052353</v>
      </c>
      <c r="M7" s="47">
        <v>7717.7</v>
      </c>
    </row>
    <row r="8" spans="1:13" x14ac:dyDescent="0.2">
      <c r="A8" s="53" t="s">
        <v>237</v>
      </c>
      <c r="B8" s="54" t="s">
        <v>21</v>
      </c>
      <c r="C8" s="54" t="s">
        <v>26</v>
      </c>
      <c r="D8" s="6">
        <v>1141.5</v>
      </c>
      <c r="E8" s="6">
        <v>334.2</v>
      </c>
      <c r="F8" s="47">
        <v>9344.5405758699999</v>
      </c>
      <c r="G8" s="47">
        <v>374753.46</v>
      </c>
      <c r="H8" s="6">
        <v>1126</v>
      </c>
      <c r="I8" s="47">
        <v>11040742.99</v>
      </c>
      <c r="J8" s="47">
        <v>-1409867.6646282882</v>
      </c>
      <c r="K8" s="47">
        <v>-3756.0546124678881</v>
      </c>
      <c r="L8" s="47">
        <v>9630875.3253717124</v>
      </c>
      <c r="M8" s="47">
        <v>7717.7</v>
      </c>
    </row>
    <row r="9" spans="1:13" x14ac:dyDescent="0.2">
      <c r="A9" s="53" t="s">
        <v>238</v>
      </c>
      <c r="B9" s="54" t="s">
        <v>21</v>
      </c>
      <c r="C9" s="54" t="s">
        <v>27</v>
      </c>
      <c r="D9" s="6">
        <v>1027.3</v>
      </c>
      <c r="E9" s="6">
        <v>189.7</v>
      </c>
      <c r="F9" s="47">
        <v>9330.2225398699993</v>
      </c>
      <c r="G9" s="47">
        <v>212393.19</v>
      </c>
      <c r="H9" s="6">
        <v>999</v>
      </c>
      <c r="I9" s="47">
        <v>9796146.9700000007</v>
      </c>
      <c r="J9" s="47">
        <v>-1250936.7225972698</v>
      </c>
      <c r="K9" s="47">
        <v>-3332.6437400461423</v>
      </c>
      <c r="L9" s="47">
        <v>8545210.2474027313</v>
      </c>
      <c r="M9" s="47">
        <v>7717.7</v>
      </c>
    </row>
    <row r="10" spans="1:13" x14ac:dyDescent="0.2">
      <c r="A10" s="53" t="s">
        <v>239</v>
      </c>
      <c r="B10" s="54" t="s">
        <v>21</v>
      </c>
      <c r="C10" s="54" t="s">
        <v>28</v>
      </c>
      <c r="D10" s="6">
        <v>9899.7999999999993</v>
      </c>
      <c r="E10" s="6">
        <v>5638.9</v>
      </c>
      <c r="F10" s="47">
        <v>8691.3064151800008</v>
      </c>
      <c r="G10" s="47">
        <v>7713789.0999999996</v>
      </c>
      <c r="H10" s="6">
        <v>8855</v>
      </c>
      <c r="I10" s="47">
        <v>93754631.590000004</v>
      </c>
      <c r="J10" s="47">
        <v>-11972167.417319696</v>
      </c>
      <c r="K10" s="47">
        <v>-28653.835232435897</v>
      </c>
      <c r="L10" s="47">
        <v>81782464.172680303</v>
      </c>
      <c r="M10" s="47">
        <v>7717.7</v>
      </c>
    </row>
    <row r="11" spans="1:13" x14ac:dyDescent="0.2">
      <c r="A11" s="53" t="s">
        <v>240</v>
      </c>
      <c r="B11" s="54" t="s">
        <v>29</v>
      </c>
      <c r="C11" s="54" t="s">
        <v>29</v>
      </c>
      <c r="D11" s="6">
        <v>2393.6</v>
      </c>
      <c r="E11" s="6">
        <v>1479.6</v>
      </c>
      <c r="F11" s="47">
        <v>8300.6560199300002</v>
      </c>
      <c r="G11" s="47">
        <v>2055122.07</v>
      </c>
      <c r="H11" s="6">
        <v>2165</v>
      </c>
      <c r="I11" s="47">
        <v>21923572.32</v>
      </c>
      <c r="J11" s="47">
        <v>-2799570.2585508497</v>
      </c>
      <c r="K11" s="47">
        <v>-7458.3870858051123</v>
      </c>
      <c r="L11" s="47">
        <v>19124002.061449151</v>
      </c>
      <c r="M11" s="47">
        <v>7717.7</v>
      </c>
    </row>
    <row r="12" spans="1:13" x14ac:dyDescent="0.2">
      <c r="A12" s="53" t="s">
        <v>241</v>
      </c>
      <c r="B12" s="54" t="s">
        <v>29</v>
      </c>
      <c r="C12" s="54" t="s">
        <v>30</v>
      </c>
      <c r="D12" s="6">
        <v>278.2</v>
      </c>
      <c r="E12" s="6">
        <v>102.2</v>
      </c>
      <c r="F12" s="47">
        <v>11909.614242850001</v>
      </c>
      <c r="G12" s="47">
        <v>146059.51</v>
      </c>
      <c r="H12" s="6">
        <v>227</v>
      </c>
      <c r="I12" s="47">
        <v>3459314.19</v>
      </c>
      <c r="J12" s="47">
        <v>-441743.38834698283</v>
      </c>
      <c r="K12" s="47">
        <v>-1176.8567596486653</v>
      </c>
      <c r="L12" s="47">
        <v>3017570.8016530173</v>
      </c>
      <c r="M12" s="47">
        <v>7717.7</v>
      </c>
    </row>
    <row r="13" spans="1:13" x14ac:dyDescent="0.2">
      <c r="A13" s="53" t="s">
        <v>242</v>
      </c>
      <c r="B13" s="54" t="s">
        <v>31</v>
      </c>
      <c r="C13" s="54" t="s">
        <v>32</v>
      </c>
      <c r="D13" s="6">
        <v>2515.1999999999998</v>
      </c>
      <c r="E13" s="6">
        <v>1242.7</v>
      </c>
      <c r="F13" s="47">
        <v>9002.30231938</v>
      </c>
      <c r="G13" s="47">
        <v>1584952.73</v>
      </c>
      <c r="H13" s="6">
        <v>2238</v>
      </c>
      <c r="I13" s="47">
        <v>24227543.52</v>
      </c>
      <c r="J13" s="47">
        <v>-3093780.0321192527</v>
      </c>
      <c r="K13" s="47">
        <v>-8242.1968040995489</v>
      </c>
      <c r="L13" s="47">
        <v>21133763.487880748</v>
      </c>
      <c r="M13" s="47">
        <v>7717.7</v>
      </c>
    </row>
    <row r="14" spans="1:13" x14ac:dyDescent="0.2">
      <c r="A14" s="53" t="s">
        <v>243</v>
      </c>
      <c r="B14" s="54" t="s">
        <v>31</v>
      </c>
      <c r="C14" s="54" t="s">
        <v>33</v>
      </c>
      <c r="D14" s="6">
        <v>1292.9000000000001</v>
      </c>
      <c r="E14" s="6">
        <v>860.4</v>
      </c>
      <c r="F14" s="47">
        <v>9464.8449059300001</v>
      </c>
      <c r="G14" s="47">
        <v>1519042.49</v>
      </c>
      <c r="H14" s="6">
        <v>1121</v>
      </c>
      <c r="I14" s="47">
        <v>13756140.470000001</v>
      </c>
      <c r="J14" s="47">
        <v>-1756615.2618808115</v>
      </c>
      <c r="K14" s="47">
        <v>-4679.8313219407419</v>
      </c>
      <c r="L14" s="47">
        <v>11999525.208119189</v>
      </c>
      <c r="M14" s="47">
        <v>7717.7</v>
      </c>
    </row>
    <row r="15" spans="1:13" x14ac:dyDescent="0.2">
      <c r="A15" s="53" t="s">
        <v>244</v>
      </c>
      <c r="B15" s="54" t="s">
        <v>31</v>
      </c>
      <c r="C15" s="54" t="s">
        <v>34</v>
      </c>
      <c r="D15" s="6">
        <v>53976.4</v>
      </c>
      <c r="E15" s="6">
        <v>12944.7</v>
      </c>
      <c r="F15" s="47">
        <v>9036.6740764099995</v>
      </c>
      <c r="G15" s="47">
        <v>14037244.189999999</v>
      </c>
      <c r="H15" s="6">
        <v>52506</v>
      </c>
      <c r="I15" s="47">
        <v>501795456.67000002</v>
      </c>
      <c r="J15" s="47">
        <v>-64077679.306292616</v>
      </c>
      <c r="K15" s="47">
        <v>-170710.53472106808</v>
      </c>
      <c r="L15" s="47">
        <v>437717777.36370742</v>
      </c>
      <c r="M15" s="47">
        <v>7717.7</v>
      </c>
    </row>
    <row r="16" spans="1:13" x14ac:dyDescent="0.2">
      <c r="A16" s="53" t="s">
        <v>245</v>
      </c>
      <c r="B16" s="54" t="s">
        <v>31</v>
      </c>
      <c r="C16" s="54" t="s">
        <v>35</v>
      </c>
      <c r="D16" s="6">
        <v>14514</v>
      </c>
      <c r="E16" s="6">
        <v>2275.6999999999998</v>
      </c>
      <c r="F16" s="47">
        <v>8821.4173955799997</v>
      </c>
      <c r="G16" s="47">
        <v>2408987.9500000002</v>
      </c>
      <c r="H16" s="6">
        <v>13701</v>
      </c>
      <c r="I16" s="47">
        <v>130443040.03</v>
      </c>
      <c r="J16" s="47">
        <v>-16657160.154953523</v>
      </c>
      <c r="K16" s="47">
        <v>-44376.649525560133</v>
      </c>
      <c r="L16" s="47">
        <v>113785879.87504648</v>
      </c>
      <c r="M16" s="47">
        <v>7717.7</v>
      </c>
    </row>
    <row r="17" spans="1:13" x14ac:dyDescent="0.2">
      <c r="A17" s="53" t="s">
        <v>246</v>
      </c>
      <c r="B17" s="54" t="s">
        <v>31</v>
      </c>
      <c r="C17" s="54" t="s">
        <v>36</v>
      </c>
      <c r="D17" s="6">
        <v>229.5</v>
      </c>
      <c r="E17" s="6">
        <v>89</v>
      </c>
      <c r="F17" s="47">
        <v>14302.5633478</v>
      </c>
      <c r="G17" s="47">
        <v>152751.38</v>
      </c>
      <c r="H17" s="6">
        <v>219</v>
      </c>
      <c r="I17" s="47">
        <v>3429428.1</v>
      </c>
      <c r="J17" s="47">
        <v>-437927.02997768339</v>
      </c>
      <c r="K17" s="47">
        <v>-1166.6895284854363</v>
      </c>
      <c r="L17" s="47">
        <v>2991501.0700223166</v>
      </c>
      <c r="M17" s="47">
        <v>7717.7</v>
      </c>
    </row>
    <row r="18" spans="1:13" x14ac:dyDescent="0.2">
      <c r="A18" s="53" t="s">
        <v>247</v>
      </c>
      <c r="B18" s="54" t="s">
        <v>31</v>
      </c>
      <c r="C18" s="54" t="s">
        <v>37</v>
      </c>
      <c r="D18" s="6">
        <v>39520.800000000003</v>
      </c>
      <c r="E18" s="6">
        <v>25237.9</v>
      </c>
      <c r="F18" s="47">
        <v>8904.6527991799994</v>
      </c>
      <c r="G18" s="47">
        <v>37458047.469999999</v>
      </c>
      <c r="H18" s="6">
        <v>37093</v>
      </c>
      <c r="I18" s="47">
        <v>389337229.82999998</v>
      </c>
      <c r="J18" s="47">
        <v>-49717122.431926943</v>
      </c>
      <c r="K18" s="47">
        <v>-129200.19203146127</v>
      </c>
      <c r="L18" s="47">
        <v>339620107.39807302</v>
      </c>
      <c r="M18" s="47">
        <v>7717.7</v>
      </c>
    </row>
    <row r="19" spans="1:13" x14ac:dyDescent="0.2">
      <c r="A19" s="53" t="s">
        <v>248</v>
      </c>
      <c r="B19" s="54" t="s">
        <v>31</v>
      </c>
      <c r="C19" s="54" t="s">
        <v>38</v>
      </c>
      <c r="D19" s="6">
        <v>5001.3</v>
      </c>
      <c r="E19" s="6">
        <v>1562.6</v>
      </c>
      <c r="F19" s="47">
        <v>8668.6848246099999</v>
      </c>
      <c r="G19" s="47">
        <v>1625482.43</v>
      </c>
      <c r="H19" s="6">
        <v>5307</v>
      </c>
      <c r="I19" s="47">
        <v>44406551.770000003</v>
      </c>
      <c r="J19" s="47">
        <v>-5670575.0233359141</v>
      </c>
      <c r="K19" s="47">
        <v>-15107.084165492613</v>
      </c>
      <c r="L19" s="47">
        <v>38735976.746664092</v>
      </c>
      <c r="M19" s="47">
        <v>7717.7</v>
      </c>
    </row>
    <row r="20" spans="1:13" x14ac:dyDescent="0.2">
      <c r="A20" s="53" t="s">
        <v>249</v>
      </c>
      <c r="B20" s="54" t="s">
        <v>39</v>
      </c>
      <c r="C20" s="54" t="s">
        <v>39</v>
      </c>
      <c r="D20" s="6">
        <v>1667.5</v>
      </c>
      <c r="E20" s="6">
        <v>778.8</v>
      </c>
      <c r="F20" s="47">
        <v>8918.1720473700007</v>
      </c>
      <c r="G20" s="47">
        <v>911339.62</v>
      </c>
      <c r="H20" s="6">
        <v>1588</v>
      </c>
      <c r="I20" s="47">
        <v>15781259.99</v>
      </c>
      <c r="J20" s="47">
        <v>-2015216.5653294628</v>
      </c>
      <c r="K20" s="47">
        <v>-5368.7758540962504</v>
      </c>
      <c r="L20" s="47">
        <v>13766043.424670538</v>
      </c>
      <c r="M20" s="47">
        <v>7717.7</v>
      </c>
    </row>
    <row r="21" spans="1:13" x14ac:dyDescent="0.2">
      <c r="A21" s="53" t="s">
        <v>250</v>
      </c>
      <c r="B21" s="54" t="s">
        <v>40</v>
      </c>
      <c r="C21" s="54" t="s">
        <v>41</v>
      </c>
      <c r="D21" s="6">
        <v>144.1</v>
      </c>
      <c r="E21" s="6">
        <v>47.2</v>
      </c>
      <c r="F21" s="47">
        <v>15442.323507360001</v>
      </c>
      <c r="G21" s="47">
        <v>87465.32</v>
      </c>
      <c r="H21" s="6">
        <v>132</v>
      </c>
      <c r="I21" s="47">
        <v>2312704.14</v>
      </c>
      <c r="J21" s="47">
        <v>-295324.94215210184</v>
      </c>
      <c r="K21" s="47">
        <v>-786.78065961578739</v>
      </c>
      <c r="L21" s="47">
        <v>2017379.1978478984</v>
      </c>
      <c r="M21" s="47">
        <v>7717.7</v>
      </c>
    </row>
    <row r="22" spans="1:13" x14ac:dyDescent="0.2">
      <c r="A22" s="53" t="s">
        <v>251</v>
      </c>
      <c r="B22" s="54" t="s">
        <v>40</v>
      </c>
      <c r="C22" s="54" t="s">
        <v>42</v>
      </c>
      <c r="D22" s="6">
        <v>56.5</v>
      </c>
      <c r="E22" s="6">
        <v>25</v>
      </c>
      <c r="F22" s="47">
        <v>17805.453177060001</v>
      </c>
      <c r="G22" s="47">
        <v>53416.36</v>
      </c>
      <c r="H22" s="6">
        <v>55</v>
      </c>
      <c r="I22" s="47">
        <v>1059424.46</v>
      </c>
      <c r="J22" s="47">
        <v>-135285.12443620292</v>
      </c>
      <c r="K22" s="47">
        <v>-360.41561090122804</v>
      </c>
      <c r="L22" s="47">
        <v>924139.33556379704</v>
      </c>
      <c r="M22" s="47">
        <v>7717.7</v>
      </c>
    </row>
    <row r="23" spans="1:13" x14ac:dyDescent="0.2">
      <c r="A23" s="53" t="s">
        <v>252</v>
      </c>
      <c r="B23" s="54" t="s">
        <v>40</v>
      </c>
      <c r="C23" s="54" t="s">
        <v>43</v>
      </c>
      <c r="D23" s="6">
        <v>289.5</v>
      </c>
      <c r="E23" s="6">
        <v>120.9</v>
      </c>
      <c r="F23" s="47">
        <v>11517.66744001</v>
      </c>
      <c r="G23" s="47">
        <v>167098.32</v>
      </c>
      <c r="H23" s="6">
        <v>262</v>
      </c>
      <c r="I23" s="47">
        <v>3501463.04</v>
      </c>
      <c r="J23" s="47">
        <v>-447125.66205538186</v>
      </c>
      <c r="K23" s="47">
        <v>-1191.1957749301646</v>
      </c>
      <c r="L23" s="47">
        <v>3054337.377944618</v>
      </c>
      <c r="M23" s="47">
        <v>7717.7</v>
      </c>
    </row>
    <row r="24" spans="1:13" x14ac:dyDescent="0.2">
      <c r="A24" s="53" t="s">
        <v>253</v>
      </c>
      <c r="B24" s="54" t="s">
        <v>40</v>
      </c>
      <c r="C24" s="54" t="s">
        <v>44</v>
      </c>
      <c r="D24" s="6">
        <v>135.1</v>
      </c>
      <c r="E24" s="6">
        <v>57</v>
      </c>
      <c r="F24" s="47">
        <v>15590.839199489999</v>
      </c>
      <c r="G24" s="47">
        <v>106641.34</v>
      </c>
      <c r="H24" s="6">
        <v>198</v>
      </c>
      <c r="I24" s="47">
        <v>2212963.7200000002</v>
      </c>
      <c r="J24" s="47">
        <v>-282588.40864690114</v>
      </c>
      <c r="K24" s="47">
        <v>-752.84902431463047</v>
      </c>
      <c r="L24" s="47">
        <v>1930375.3113530991</v>
      </c>
      <c r="M24" s="47">
        <v>7717.7</v>
      </c>
    </row>
    <row r="25" spans="1:13" x14ac:dyDescent="0.2">
      <c r="A25" s="53" t="s">
        <v>254</v>
      </c>
      <c r="B25" s="54" t="s">
        <v>40</v>
      </c>
      <c r="C25" s="54" t="s">
        <v>45</v>
      </c>
      <c r="D25" s="6">
        <v>50</v>
      </c>
      <c r="E25" s="6">
        <v>23</v>
      </c>
      <c r="F25" s="47">
        <v>17974.586199969999</v>
      </c>
      <c r="G25" s="47">
        <v>49609.86</v>
      </c>
      <c r="H25" s="6">
        <v>46</v>
      </c>
      <c r="I25" s="47">
        <v>948339.17</v>
      </c>
      <c r="J25" s="47">
        <v>-121099.88721723059</v>
      </c>
      <c r="K25" s="47">
        <v>-322.62445714828368</v>
      </c>
      <c r="L25" s="47">
        <v>827239.28278276941</v>
      </c>
      <c r="M25" s="47">
        <v>7717.7</v>
      </c>
    </row>
    <row r="26" spans="1:13" x14ac:dyDescent="0.2">
      <c r="A26" s="53" t="s">
        <v>255</v>
      </c>
      <c r="B26" s="54" t="s">
        <v>46</v>
      </c>
      <c r="C26" s="54" t="s">
        <v>47</v>
      </c>
      <c r="D26" s="6">
        <v>2320.3000000000002</v>
      </c>
      <c r="E26" s="6">
        <v>1445</v>
      </c>
      <c r="F26" s="47">
        <v>7921.8713463599997</v>
      </c>
      <c r="G26" s="47">
        <v>1818990.63</v>
      </c>
      <c r="H26" s="6">
        <v>2244</v>
      </c>
      <c r="I26" s="47">
        <v>21336209.789999999</v>
      </c>
      <c r="J26" s="47">
        <v>-2724565.9369022697</v>
      </c>
      <c r="K26" s="47">
        <v>-7258.5666804215689</v>
      </c>
      <c r="L26" s="47">
        <v>18611643.853097729</v>
      </c>
      <c r="M26" s="47">
        <v>7717.7</v>
      </c>
    </row>
    <row r="27" spans="1:13" x14ac:dyDescent="0.2">
      <c r="A27" s="53" t="s">
        <v>256</v>
      </c>
      <c r="B27" s="54" t="s">
        <v>46</v>
      </c>
      <c r="C27" s="54" t="s">
        <v>48</v>
      </c>
      <c r="D27" s="6">
        <v>235.8</v>
      </c>
      <c r="E27" s="6">
        <v>64</v>
      </c>
      <c r="F27" s="47">
        <v>12546.65438493</v>
      </c>
      <c r="G27" s="47">
        <v>96358.31</v>
      </c>
      <c r="H27" s="6">
        <v>202</v>
      </c>
      <c r="I27" s="47">
        <v>3050853.76</v>
      </c>
      <c r="J27" s="47">
        <v>-389584.29424808407</v>
      </c>
      <c r="K27" s="47">
        <v>-1037.8987489874537</v>
      </c>
      <c r="L27" s="47">
        <v>2661269.4657519157</v>
      </c>
      <c r="M27" s="47">
        <v>7717.7</v>
      </c>
    </row>
    <row r="28" spans="1:13" x14ac:dyDescent="0.2">
      <c r="A28" s="53" t="s">
        <v>257</v>
      </c>
      <c r="B28" s="54" t="s">
        <v>49</v>
      </c>
      <c r="C28" s="54" t="s">
        <v>50</v>
      </c>
      <c r="D28" s="6">
        <v>30736.7</v>
      </c>
      <c r="E28" s="6">
        <v>7827.2</v>
      </c>
      <c r="F28" s="47">
        <v>8845.2432244299998</v>
      </c>
      <c r="G28" s="47">
        <v>8308018.5300000003</v>
      </c>
      <c r="H28" s="6">
        <v>30247</v>
      </c>
      <c r="I28" s="47">
        <v>280181605.94999999</v>
      </c>
      <c r="J28" s="47">
        <v>-35778297.421678297</v>
      </c>
      <c r="K28" s="47">
        <v>-95317.62620598395</v>
      </c>
      <c r="L28" s="47">
        <v>244403308.52832168</v>
      </c>
      <c r="M28" s="47">
        <v>7717.7</v>
      </c>
    </row>
    <row r="29" spans="1:13" x14ac:dyDescent="0.2">
      <c r="A29" s="53" t="s">
        <v>258</v>
      </c>
      <c r="B29" s="54" t="s">
        <v>49</v>
      </c>
      <c r="C29" s="54" t="s">
        <v>49</v>
      </c>
      <c r="D29" s="6">
        <v>30410.2</v>
      </c>
      <c r="E29" s="6">
        <v>5025.2</v>
      </c>
      <c r="F29" s="47">
        <v>9043.2751402699996</v>
      </c>
      <c r="G29" s="47">
        <v>5453311.9500000002</v>
      </c>
      <c r="H29" s="6">
        <v>28389</v>
      </c>
      <c r="I29" s="47">
        <v>280003796.11000001</v>
      </c>
      <c r="J29" s="47">
        <v>-35755591.672246784</v>
      </c>
      <c r="K29" s="47">
        <v>-95257.135397504942</v>
      </c>
      <c r="L29" s="47">
        <v>244248204.43775323</v>
      </c>
      <c r="M29" s="47">
        <v>7717.7</v>
      </c>
    </row>
    <row r="30" spans="1:13" x14ac:dyDescent="0.2">
      <c r="A30" s="53" t="s">
        <v>259</v>
      </c>
      <c r="B30" s="54" t="s">
        <v>51</v>
      </c>
      <c r="C30" s="54" t="s">
        <v>52</v>
      </c>
      <c r="D30" s="6">
        <v>1008.9</v>
      </c>
      <c r="E30" s="6">
        <v>212.3</v>
      </c>
      <c r="F30" s="47">
        <v>9151.9196044500004</v>
      </c>
      <c r="G30" s="47">
        <v>233154.3</v>
      </c>
      <c r="H30" s="6">
        <v>887</v>
      </c>
      <c r="I30" s="47">
        <v>9466525.9900000002</v>
      </c>
      <c r="J30" s="47">
        <v>-1208845.1747996258</v>
      </c>
      <c r="K30" s="47">
        <v>-3220.5068663396755</v>
      </c>
      <c r="L30" s="47">
        <v>8257680.8152003745</v>
      </c>
      <c r="M30" s="47">
        <v>7717.7</v>
      </c>
    </row>
    <row r="31" spans="1:13" x14ac:dyDescent="0.2">
      <c r="A31" s="53" t="s">
        <v>260</v>
      </c>
      <c r="B31" s="54" t="s">
        <v>51</v>
      </c>
      <c r="C31" s="54" t="s">
        <v>53</v>
      </c>
      <c r="D31" s="6">
        <v>1347</v>
      </c>
      <c r="E31" s="6">
        <v>384.6</v>
      </c>
      <c r="F31" s="47">
        <v>8862.9796180899993</v>
      </c>
      <c r="G31" s="47">
        <v>409044.24</v>
      </c>
      <c r="H31" s="6">
        <v>1272</v>
      </c>
      <c r="I31" s="47">
        <v>12347477.789999999</v>
      </c>
      <c r="J31" s="47">
        <v>-1576733.530669475</v>
      </c>
      <c r="K31" s="47">
        <v>-3929.2964341807879</v>
      </c>
      <c r="L31" s="47">
        <v>10770744.259330524</v>
      </c>
      <c r="M31" s="47">
        <v>7717.7</v>
      </c>
    </row>
    <row r="32" spans="1:13" x14ac:dyDescent="0.2">
      <c r="A32" s="53" t="s">
        <v>261</v>
      </c>
      <c r="B32" s="54" t="s">
        <v>54</v>
      </c>
      <c r="C32" s="54" t="s">
        <v>55</v>
      </c>
      <c r="D32" s="6">
        <v>104.5</v>
      </c>
      <c r="E32" s="6">
        <v>23.9</v>
      </c>
      <c r="F32" s="47">
        <v>16353.386355430001</v>
      </c>
      <c r="G32" s="47">
        <v>46901.51</v>
      </c>
      <c r="H32" s="6">
        <v>92</v>
      </c>
      <c r="I32" s="47">
        <v>1755830.38</v>
      </c>
      <c r="J32" s="47">
        <v>-224213.93918653292</v>
      </c>
      <c r="K32" s="47">
        <v>-597.33251679561499</v>
      </c>
      <c r="L32" s="47">
        <v>1531616.4408134669</v>
      </c>
      <c r="M32" s="47">
        <v>7717.7</v>
      </c>
    </row>
    <row r="33" spans="1:13" x14ac:dyDescent="0.2">
      <c r="A33" s="53" t="s">
        <v>262</v>
      </c>
      <c r="B33" s="54" t="s">
        <v>54</v>
      </c>
      <c r="C33" s="54" t="s">
        <v>54</v>
      </c>
      <c r="D33" s="6">
        <v>175</v>
      </c>
      <c r="E33" s="6">
        <v>42.8</v>
      </c>
      <c r="F33" s="47">
        <v>14972.4540612</v>
      </c>
      <c r="G33" s="47">
        <v>76898.52</v>
      </c>
      <c r="H33" s="6">
        <v>165</v>
      </c>
      <c r="I33" s="47">
        <v>2697077.98</v>
      </c>
      <c r="J33" s="47">
        <v>-344408.25553380453</v>
      </c>
      <c r="K33" s="47">
        <v>-917.54442578185342</v>
      </c>
      <c r="L33" s="47">
        <v>2352669.7244661953</v>
      </c>
      <c r="M33" s="47">
        <v>7717.7</v>
      </c>
    </row>
    <row r="34" spans="1:13" x14ac:dyDescent="0.2">
      <c r="A34" s="53" t="s">
        <v>263</v>
      </c>
      <c r="B34" s="54" t="s">
        <v>56</v>
      </c>
      <c r="C34" s="54" t="s">
        <v>56</v>
      </c>
      <c r="D34" s="6">
        <v>718.2</v>
      </c>
      <c r="E34" s="6">
        <v>132.69999999999999</v>
      </c>
      <c r="F34" s="47">
        <v>9891.6168873999995</v>
      </c>
      <c r="G34" s="47">
        <v>157514.10999999999</v>
      </c>
      <c r="H34" s="6">
        <v>634</v>
      </c>
      <c r="I34" s="47">
        <v>7261673.3600000003</v>
      </c>
      <c r="J34" s="47">
        <v>-927292.52647485596</v>
      </c>
      <c r="K34" s="47">
        <v>-2470.4172303229375</v>
      </c>
      <c r="L34" s="47">
        <v>6334380.8335251445</v>
      </c>
      <c r="M34" s="47">
        <v>7717.7</v>
      </c>
    </row>
    <row r="35" spans="1:13" x14ac:dyDescent="0.2">
      <c r="A35" s="53" t="s">
        <v>264</v>
      </c>
      <c r="B35" s="54" t="s">
        <v>57</v>
      </c>
      <c r="C35" s="54" t="s">
        <v>58</v>
      </c>
      <c r="D35" s="6">
        <v>1063.5</v>
      </c>
      <c r="E35" s="6">
        <v>436.5</v>
      </c>
      <c r="F35" s="47">
        <v>8672.9369899600006</v>
      </c>
      <c r="G35" s="47">
        <v>473167.6</v>
      </c>
      <c r="H35" s="6">
        <v>991</v>
      </c>
      <c r="I35" s="47">
        <v>9696836.0899999999</v>
      </c>
      <c r="J35" s="47">
        <v>-1238255.0399800222</v>
      </c>
      <c r="K35" s="47">
        <v>-3298.8582340136131</v>
      </c>
      <c r="L35" s="47">
        <v>8458581.0500199776</v>
      </c>
      <c r="M35" s="47">
        <v>7717.7</v>
      </c>
    </row>
    <row r="36" spans="1:13" x14ac:dyDescent="0.2">
      <c r="A36" s="53" t="s">
        <v>265</v>
      </c>
      <c r="B36" s="54" t="s">
        <v>57</v>
      </c>
      <c r="C36" s="54" t="s">
        <v>59</v>
      </c>
      <c r="D36" s="6">
        <v>352.8</v>
      </c>
      <c r="E36" s="6">
        <v>131.80000000000001</v>
      </c>
      <c r="F36" s="47">
        <v>10874.041444140001</v>
      </c>
      <c r="G36" s="47">
        <v>171983.84</v>
      </c>
      <c r="H36" s="6">
        <v>331</v>
      </c>
      <c r="I36" s="47">
        <v>4008345.66</v>
      </c>
      <c r="J36" s="47">
        <v>-511852.95589306485</v>
      </c>
      <c r="K36" s="47">
        <v>-1363.6369597811497</v>
      </c>
      <c r="L36" s="47">
        <v>3496492.7041069353</v>
      </c>
      <c r="M36" s="47">
        <v>7717.7</v>
      </c>
    </row>
    <row r="37" spans="1:13" x14ac:dyDescent="0.2">
      <c r="A37" s="53" t="s">
        <v>266</v>
      </c>
      <c r="B37" s="54" t="s">
        <v>57</v>
      </c>
      <c r="C37" s="54" t="s">
        <v>60</v>
      </c>
      <c r="D37" s="6">
        <v>174.3</v>
      </c>
      <c r="E37" s="6">
        <v>94.3</v>
      </c>
      <c r="F37" s="47">
        <v>14927.29299923</v>
      </c>
      <c r="G37" s="47">
        <v>168917.25</v>
      </c>
      <c r="H37" s="6">
        <v>144</v>
      </c>
      <c r="I37" s="47">
        <v>2770744.42</v>
      </c>
      <c r="J37" s="47">
        <v>-353815.22495772369</v>
      </c>
      <c r="K37" s="47">
        <v>-942.60570761738768</v>
      </c>
      <c r="L37" s="47">
        <v>2416929.1950422763</v>
      </c>
      <c r="M37" s="47">
        <v>7717.7</v>
      </c>
    </row>
    <row r="38" spans="1:13" x14ac:dyDescent="0.2">
      <c r="A38" s="53" t="s">
        <v>267</v>
      </c>
      <c r="B38" s="54" t="s">
        <v>61</v>
      </c>
      <c r="C38" s="54" t="s">
        <v>62</v>
      </c>
      <c r="D38" s="6">
        <v>218.7</v>
      </c>
      <c r="E38" s="6">
        <v>158.9</v>
      </c>
      <c r="F38" s="47">
        <v>13395.23438333</v>
      </c>
      <c r="G38" s="47">
        <v>255420.33</v>
      </c>
      <c r="H38" s="6">
        <v>193</v>
      </c>
      <c r="I38" s="47">
        <v>3184958.09</v>
      </c>
      <c r="J38" s="47">
        <v>-406708.98945427523</v>
      </c>
      <c r="K38" s="47">
        <v>-1083.5209673204624</v>
      </c>
      <c r="L38" s="47">
        <v>2778249.1005457249</v>
      </c>
      <c r="M38" s="47">
        <v>7717.7</v>
      </c>
    </row>
    <row r="39" spans="1:13" x14ac:dyDescent="0.2">
      <c r="A39" s="53" t="s">
        <v>268</v>
      </c>
      <c r="B39" s="54" t="s">
        <v>61</v>
      </c>
      <c r="C39" s="54" t="s">
        <v>63</v>
      </c>
      <c r="D39" s="6">
        <v>275.89999999999998</v>
      </c>
      <c r="E39" s="6">
        <v>204.5</v>
      </c>
      <c r="F39" s="47">
        <v>11869.866025339999</v>
      </c>
      <c r="G39" s="47">
        <v>291286.51</v>
      </c>
      <c r="H39" s="6">
        <v>237</v>
      </c>
      <c r="I39" s="47">
        <v>3566182.55</v>
      </c>
      <c r="J39" s="47">
        <v>-455390.13705513795</v>
      </c>
      <c r="K39" s="47">
        <v>-1213.2133161655991</v>
      </c>
      <c r="L39" s="47">
        <v>3110792.4129448617</v>
      </c>
      <c r="M39" s="47">
        <v>7717.7</v>
      </c>
    </row>
    <row r="40" spans="1:13" x14ac:dyDescent="0.2">
      <c r="A40" s="53" t="s">
        <v>269</v>
      </c>
      <c r="B40" s="54" t="s">
        <v>64</v>
      </c>
      <c r="C40" s="54" t="s">
        <v>64</v>
      </c>
      <c r="D40" s="6">
        <v>448.8</v>
      </c>
      <c r="E40" s="6">
        <v>225.1</v>
      </c>
      <c r="F40" s="47">
        <v>9715.7041696899996</v>
      </c>
      <c r="G40" s="47">
        <v>262440.59999999998</v>
      </c>
      <c r="H40" s="6">
        <v>395</v>
      </c>
      <c r="I40" s="47">
        <v>4622848.63</v>
      </c>
      <c r="J40" s="47">
        <v>-590323.02516337996</v>
      </c>
      <c r="K40" s="47">
        <v>-1572.6905277280036</v>
      </c>
      <c r="L40" s="47">
        <v>4032525.6048366199</v>
      </c>
      <c r="M40" s="47">
        <v>7717.7</v>
      </c>
    </row>
    <row r="41" spans="1:13" x14ac:dyDescent="0.2">
      <c r="A41" s="53" t="s">
        <v>270</v>
      </c>
      <c r="B41" s="54" t="s">
        <v>65</v>
      </c>
      <c r="C41" s="54" t="s">
        <v>66</v>
      </c>
      <c r="D41" s="6">
        <v>358.6</v>
      </c>
      <c r="E41" s="6">
        <v>144.1</v>
      </c>
      <c r="F41" s="47">
        <v>11150.08300024</v>
      </c>
      <c r="G41" s="47">
        <v>192807.24</v>
      </c>
      <c r="H41" s="6">
        <v>318</v>
      </c>
      <c r="I41" s="47">
        <v>4191227</v>
      </c>
      <c r="J41" s="47">
        <v>-535206.31969869148</v>
      </c>
      <c r="K41" s="47">
        <v>-1425.8530897339499</v>
      </c>
      <c r="L41" s="47">
        <v>3656020.6803013086</v>
      </c>
      <c r="M41" s="47">
        <v>7717.7</v>
      </c>
    </row>
    <row r="42" spans="1:13" x14ac:dyDescent="0.2">
      <c r="A42" s="53" t="s">
        <v>271</v>
      </c>
      <c r="B42" s="54" t="s">
        <v>67</v>
      </c>
      <c r="C42" s="54" t="s">
        <v>67</v>
      </c>
      <c r="D42" s="6">
        <v>4731.3</v>
      </c>
      <c r="E42" s="6">
        <v>2167.1999999999998</v>
      </c>
      <c r="F42" s="47">
        <v>8536.8120361399997</v>
      </c>
      <c r="G42" s="47">
        <v>2403277.17</v>
      </c>
      <c r="H42" s="6">
        <v>4506</v>
      </c>
      <c r="I42" s="47">
        <v>42793495.960000001</v>
      </c>
      <c r="J42" s="47">
        <v>-5464592.9413492568</v>
      </c>
      <c r="K42" s="47">
        <v>-14558.323477846296</v>
      </c>
      <c r="L42" s="47">
        <v>37328903.01865074</v>
      </c>
      <c r="M42" s="47">
        <v>7717.7</v>
      </c>
    </row>
    <row r="43" spans="1:13" x14ac:dyDescent="0.2">
      <c r="A43" s="53" t="s">
        <v>272</v>
      </c>
      <c r="B43" s="54" t="s">
        <v>68</v>
      </c>
      <c r="C43" s="54" t="s">
        <v>68</v>
      </c>
      <c r="D43" s="6">
        <v>89785.2</v>
      </c>
      <c r="E43" s="6">
        <v>46443.4</v>
      </c>
      <c r="F43" s="47">
        <v>8911.2538630399995</v>
      </c>
      <c r="G43" s="47">
        <v>59747193.689999998</v>
      </c>
      <c r="H43" s="6">
        <v>84834</v>
      </c>
      <c r="I43" s="47">
        <v>859726682.28999996</v>
      </c>
      <c r="J43" s="47">
        <v>-109784355.17217202</v>
      </c>
      <c r="K43" s="47">
        <v>-292478.53821086622</v>
      </c>
      <c r="L43" s="47">
        <v>749942327.11782789</v>
      </c>
      <c r="M43" s="47">
        <v>7717.7</v>
      </c>
    </row>
    <row r="44" spans="1:13" x14ac:dyDescent="0.2">
      <c r="A44" s="53" t="s">
        <v>273</v>
      </c>
      <c r="B44" s="54" t="s">
        <v>69</v>
      </c>
      <c r="C44" s="54" t="s">
        <v>69</v>
      </c>
      <c r="D44" s="6">
        <v>228</v>
      </c>
      <c r="E44" s="6">
        <v>82</v>
      </c>
      <c r="F44" s="47">
        <v>13903.62650264</v>
      </c>
      <c r="G44" s="47">
        <v>136811.68</v>
      </c>
      <c r="H44" s="6">
        <v>212</v>
      </c>
      <c r="I44" s="47">
        <v>3306838.52</v>
      </c>
      <c r="J44" s="47">
        <v>-422272.73161942017</v>
      </c>
      <c r="K44" s="47">
        <v>-1124.9846216855451</v>
      </c>
      <c r="L44" s="47">
        <v>2884565.78838058</v>
      </c>
      <c r="M44" s="47">
        <v>7717.7</v>
      </c>
    </row>
    <row r="45" spans="1:13" x14ac:dyDescent="0.2">
      <c r="A45" s="53" t="s">
        <v>274</v>
      </c>
      <c r="B45" s="54" t="s">
        <v>70</v>
      </c>
      <c r="C45" s="54" t="s">
        <v>70</v>
      </c>
      <c r="D45" s="6">
        <v>64959</v>
      </c>
      <c r="E45" s="6">
        <v>5753.9</v>
      </c>
      <c r="F45" s="47">
        <v>8911.2538630399995</v>
      </c>
      <c r="G45" s="47">
        <v>6152935.6299999999</v>
      </c>
      <c r="H45" s="6">
        <v>63272</v>
      </c>
      <c r="I45" s="47">
        <v>584613091.96000004</v>
      </c>
      <c r="J45" s="47">
        <v>-74653227.180389956</v>
      </c>
      <c r="K45" s="47">
        <v>-194533.68808062776</v>
      </c>
      <c r="L45" s="47">
        <v>509959864.7796101</v>
      </c>
      <c r="M45" s="47">
        <v>7717.7</v>
      </c>
    </row>
    <row r="46" spans="1:13" x14ac:dyDescent="0.2">
      <c r="A46" s="53" t="s">
        <v>275</v>
      </c>
      <c r="B46" s="54" t="s">
        <v>71</v>
      </c>
      <c r="C46" s="54" t="s">
        <v>71</v>
      </c>
      <c r="D46" s="6">
        <v>7001.1</v>
      </c>
      <c r="E46" s="6">
        <v>1928.3</v>
      </c>
      <c r="F46" s="47">
        <v>9351.5681633700005</v>
      </c>
      <c r="G46" s="47">
        <v>2163915.4700000002</v>
      </c>
      <c r="H46" s="6">
        <v>6707</v>
      </c>
      <c r="I46" s="47">
        <v>67633963.489999995</v>
      </c>
      <c r="J46" s="47">
        <v>-8636641.4145830236</v>
      </c>
      <c r="K46" s="47">
        <v>-21993.486904289613</v>
      </c>
      <c r="L46" s="47">
        <v>58997322.075416967</v>
      </c>
      <c r="M46" s="47">
        <v>7717.7</v>
      </c>
    </row>
    <row r="47" spans="1:13" x14ac:dyDescent="0.2">
      <c r="A47" s="53" t="s">
        <v>276</v>
      </c>
      <c r="B47" s="54" t="s">
        <v>72</v>
      </c>
      <c r="C47" s="54" t="s">
        <v>73</v>
      </c>
      <c r="D47" s="6">
        <v>2252.6999999999998</v>
      </c>
      <c r="E47" s="6">
        <v>304.2</v>
      </c>
      <c r="F47" s="47">
        <v>9070.3172616899992</v>
      </c>
      <c r="G47" s="47">
        <v>331102.86</v>
      </c>
      <c r="H47" s="6">
        <v>2085</v>
      </c>
      <c r="I47" s="47">
        <v>20762747.920000002</v>
      </c>
      <c r="J47" s="47">
        <v>-2651336.6851985971</v>
      </c>
      <c r="K47" s="47">
        <v>-7063.4752718235359</v>
      </c>
      <c r="L47" s="47">
        <v>18111411.234801404</v>
      </c>
      <c r="M47" s="47">
        <v>7717.7</v>
      </c>
    </row>
    <row r="48" spans="1:13" x14ac:dyDescent="0.2">
      <c r="A48" s="53" t="s">
        <v>277</v>
      </c>
      <c r="B48" s="54" t="s">
        <v>72</v>
      </c>
      <c r="C48" s="54" t="s">
        <v>74</v>
      </c>
      <c r="D48" s="6">
        <v>247.2</v>
      </c>
      <c r="E48" s="6">
        <v>66</v>
      </c>
      <c r="F48" s="47">
        <v>13761.217211790001</v>
      </c>
      <c r="G48" s="47">
        <v>108988.84</v>
      </c>
      <c r="H48" s="6">
        <v>222</v>
      </c>
      <c r="I48" s="47">
        <v>3510761.73</v>
      </c>
      <c r="J48" s="47">
        <v>-448313.07510958269</v>
      </c>
      <c r="K48" s="47">
        <v>-1194.3591840862371</v>
      </c>
      <c r="L48" s="47">
        <v>3062448.6548904171</v>
      </c>
      <c r="M48" s="47">
        <v>7717.7</v>
      </c>
    </row>
    <row r="49" spans="1:13" x14ac:dyDescent="0.2">
      <c r="A49" s="53" t="s">
        <v>278</v>
      </c>
      <c r="B49" s="54" t="s">
        <v>72</v>
      </c>
      <c r="C49" s="54" t="s">
        <v>75</v>
      </c>
      <c r="D49" s="6">
        <v>301.5</v>
      </c>
      <c r="E49" s="6">
        <v>116.4</v>
      </c>
      <c r="F49" s="47">
        <v>12390.56694302</v>
      </c>
      <c r="G49" s="47">
        <v>173071.44</v>
      </c>
      <c r="H49" s="6">
        <v>279</v>
      </c>
      <c r="I49" s="47">
        <v>3908827.37</v>
      </c>
      <c r="J49" s="47">
        <v>-499144.78768036549</v>
      </c>
      <c r="K49" s="47">
        <v>-1329.7808929822054</v>
      </c>
      <c r="L49" s="47">
        <v>3409682.5823196345</v>
      </c>
      <c r="M49" s="47">
        <v>7717.7</v>
      </c>
    </row>
    <row r="50" spans="1:13" x14ac:dyDescent="0.2">
      <c r="A50" s="53" t="s">
        <v>279</v>
      </c>
      <c r="B50" s="54" t="s">
        <v>72</v>
      </c>
      <c r="C50" s="54" t="s">
        <v>72</v>
      </c>
      <c r="D50" s="6">
        <v>255.5</v>
      </c>
      <c r="E50" s="6">
        <v>65</v>
      </c>
      <c r="F50" s="47">
        <v>13400.156343029999</v>
      </c>
      <c r="G50" s="47">
        <v>104521.22</v>
      </c>
      <c r="H50" s="6">
        <v>249</v>
      </c>
      <c r="I50" s="47">
        <v>3528261.17</v>
      </c>
      <c r="J50" s="47">
        <v>-450547.69778193807</v>
      </c>
      <c r="K50" s="47">
        <v>-1200.3124838222366</v>
      </c>
      <c r="L50" s="47">
        <v>3077713.4722180618</v>
      </c>
      <c r="M50" s="47">
        <v>7717.7</v>
      </c>
    </row>
    <row r="51" spans="1:13" x14ac:dyDescent="0.2">
      <c r="A51" s="53" t="s">
        <v>280</v>
      </c>
      <c r="B51" s="54" t="s">
        <v>72</v>
      </c>
      <c r="C51" s="54" t="s">
        <v>76</v>
      </c>
      <c r="D51" s="6">
        <v>67</v>
      </c>
      <c r="E51" s="6">
        <v>31</v>
      </c>
      <c r="F51" s="47">
        <v>18805.256047229999</v>
      </c>
      <c r="G51" s="47">
        <v>69955.55</v>
      </c>
      <c r="H51" s="6">
        <v>64</v>
      </c>
      <c r="I51" s="47">
        <v>1329907.71</v>
      </c>
      <c r="J51" s="47">
        <v>-169824.97273662692</v>
      </c>
      <c r="K51" s="47">
        <v>-452.4338618176734</v>
      </c>
      <c r="L51" s="47">
        <v>1160082.7372633731</v>
      </c>
      <c r="M51" s="47">
        <v>7717.7</v>
      </c>
    </row>
    <row r="52" spans="1:13" x14ac:dyDescent="0.2">
      <c r="A52" s="53" t="s">
        <v>281</v>
      </c>
      <c r="B52" s="54" t="s">
        <v>77</v>
      </c>
      <c r="C52" s="54" t="s">
        <v>78</v>
      </c>
      <c r="D52" s="6">
        <v>448.8</v>
      </c>
      <c r="E52" s="6">
        <v>170.6</v>
      </c>
      <c r="F52" s="47">
        <v>10383.191975809999</v>
      </c>
      <c r="G52" s="47">
        <v>212564.71</v>
      </c>
      <c r="H52" s="6">
        <v>434</v>
      </c>
      <c r="I52" s="47">
        <v>4872541.2699999996</v>
      </c>
      <c r="J52" s="47">
        <v>-622207.97887985734</v>
      </c>
      <c r="K52" s="47">
        <v>-1657.6358247085359</v>
      </c>
      <c r="L52" s="47">
        <v>4250333.2911201417</v>
      </c>
      <c r="M52" s="47">
        <v>7717.7</v>
      </c>
    </row>
    <row r="53" spans="1:13" x14ac:dyDescent="0.2">
      <c r="A53" s="53" t="s">
        <v>282</v>
      </c>
      <c r="B53" s="54" t="s">
        <v>77</v>
      </c>
      <c r="C53" s="54" t="s">
        <v>79</v>
      </c>
      <c r="D53" s="6">
        <v>11620.6</v>
      </c>
      <c r="E53" s="6">
        <v>7734.5</v>
      </c>
      <c r="F53" s="47">
        <v>8641.9815154499993</v>
      </c>
      <c r="G53" s="47">
        <v>11420612.42</v>
      </c>
      <c r="H53" s="6">
        <v>11060</v>
      </c>
      <c r="I53" s="47">
        <v>111845622.81999999</v>
      </c>
      <c r="J53" s="47">
        <v>-14282329.294953525</v>
      </c>
      <c r="K53" s="47">
        <v>-38049.818554593905</v>
      </c>
      <c r="L53" s="47">
        <v>97563293.525046468</v>
      </c>
      <c r="M53" s="47">
        <v>7717.7</v>
      </c>
    </row>
    <row r="54" spans="1:13" x14ac:dyDescent="0.2">
      <c r="A54" s="53" t="s">
        <v>283</v>
      </c>
      <c r="B54" s="54" t="s">
        <v>77</v>
      </c>
      <c r="C54" s="54" t="s">
        <v>80</v>
      </c>
      <c r="D54" s="6">
        <v>9231.4</v>
      </c>
      <c r="E54" s="6">
        <v>3396.1</v>
      </c>
      <c r="F54" s="47">
        <v>8444.7037985000006</v>
      </c>
      <c r="G54" s="47">
        <v>3463885.76</v>
      </c>
      <c r="H54" s="6">
        <v>8780</v>
      </c>
      <c r="I54" s="47">
        <v>81674996.129999995</v>
      </c>
      <c r="J54" s="47">
        <v>-10429636.497890037</v>
      </c>
      <c r="K54" s="47">
        <v>-27785.788167992068</v>
      </c>
      <c r="L54" s="47">
        <v>71245359.632109955</v>
      </c>
      <c r="M54" s="47">
        <v>7717.7</v>
      </c>
    </row>
    <row r="55" spans="1:13" x14ac:dyDescent="0.2">
      <c r="A55" s="53" t="s">
        <v>284</v>
      </c>
      <c r="B55" s="54" t="s">
        <v>77</v>
      </c>
      <c r="C55" s="54" t="s">
        <v>81</v>
      </c>
      <c r="D55" s="6">
        <v>8186.3</v>
      </c>
      <c r="E55" s="6">
        <v>2527.6999999999998</v>
      </c>
      <c r="F55" s="47">
        <v>8508.1163167300001</v>
      </c>
      <c r="G55" s="47">
        <v>2580715.87</v>
      </c>
      <c r="H55" s="6">
        <v>7762</v>
      </c>
      <c r="I55" s="47">
        <v>72428299.719999999</v>
      </c>
      <c r="J55" s="47">
        <v>-9248862.8592951335</v>
      </c>
      <c r="K55" s="47">
        <v>-24640.067202262864</v>
      </c>
      <c r="L55" s="47">
        <v>63179436.860704869</v>
      </c>
      <c r="M55" s="47">
        <v>7717.7</v>
      </c>
    </row>
    <row r="56" spans="1:13" x14ac:dyDescent="0.2">
      <c r="A56" s="53" t="s">
        <v>285</v>
      </c>
      <c r="B56" s="54" t="s">
        <v>77</v>
      </c>
      <c r="C56" s="54" t="s">
        <v>82</v>
      </c>
      <c r="D56" s="6">
        <v>29809.200000000001</v>
      </c>
      <c r="E56" s="6">
        <v>13499.7</v>
      </c>
      <c r="F56" s="47">
        <v>8660.1114649899991</v>
      </c>
      <c r="G56" s="47">
        <v>15551479.08</v>
      </c>
      <c r="H56" s="6">
        <v>26849</v>
      </c>
      <c r="I56" s="47">
        <v>273664953.64999998</v>
      </c>
      <c r="J56" s="47">
        <v>-34946141.708270505</v>
      </c>
      <c r="K56" s="47">
        <v>-80743.572074130876</v>
      </c>
      <c r="L56" s="47">
        <v>238718811.94172949</v>
      </c>
      <c r="M56" s="47">
        <v>7717.7</v>
      </c>
    </row>
    <row r="57" spans="1:13" x14ac:dyDescent="0.2">
      <c r="A57" s="53" t="s">
        <v>286</v>
      </c>
      <c r="B57" s="54" t="s">
        <v>77</v>
      </c>
      <c r="C57" s="54" t="s">
        <v>83</v>
      </c>
      <c r="D57" s="6">
        <v>5172.8999999999996</v>
      </c>
      <c r="E57" s="6">
        <v>618.4</v>
      </c>
      <c r="F57" s="47">
        <v>8638.0938170600002</v>
      </c>
      <c r="G57" s="47">
        <v>641015.67000000004</v>
      </c>
      <c r="H57" s="6">
        <v>5163</v>
      </c>
      <c r="I57" s="47">
        <v>45767336.210000001</v>
      </c>
      <c r="J57" s="47">
        <v>-5844342.8560101269</v>
      </c>
      <c r="K57" s="47">
        <v>-15570.022273649456</v>
      </c>
      <c r="L57" s="47">
        <v>39922993.353989877</v>
      </c>
      <c r="M57" s="47">
        <v>7717.7</v>
      </c>
    </row>
    <row r="58" spans="1:13" x14ac:dyDescent="0.2">
      <c r="A58" s="53" t="s">
        <v>287</v>
      </c>
      <c r="B58" s="54" t="s">
        <v>77</v>
      </c>
      <c r="C58" s="54" t="s">
        <v>84</v>
      </c>
      <c r="D58" s="6">
        <v>1397.2</v>
      </c>
      <c r="E58" s="6">
        <v>376.7</v>
      </c>
      <c r="F58" s="47">
        <v>9189.7460274500008</v>
      </c>
      <c r="G58" s="47">
        <v>415413.28</v>
      </c>
      <c r="H58" s="6">
        <v>1311</v>
      </c>
      <c r="I58" s="47">
        <v>13255326.43</v>
      </c>
      <c r="J58" s="47">
        <v>-1692662.9063529831</v>
      </c>
      <c r="K58" s="47">
        <v>-4509.4546646238887</v>
      </c>
      <c r="L58" s="47">
        <v>11562663.523647016</v>
      </c>
      <c r="M58" s="47">
        <v>7717.7</v>
      </c>
    </row>
    <row r="59" spans="1:13" x14ac:dyDescent="0.2">
      <c r="A59" s="53" t="s">
        <v>288</v>
      </c>
      <c r="B59" s="54" t="s">
        <v>77</v>
      </c>
      <c r="C59" s="54" t="s">
        <v>85</v>
      </c>
      <c r="D59" s="6">
        <v>25262.7</v>
      </c>
      <c r="E59" s="6">
        <v>3185.8</v>
      </c>
      <c r="F59" s="47">
        <v>8719.6180498499998</v>
      </c>
      <c r="G59" s="47">
        <v>3333475.1</v>
      </c>
      <c r="H59" s="6">
        <v>25386</v>
      </c>
      <c r="I59" s="47">
        <v>223448633.84</v>
      </c>
      <c r="J59" s="47">
        <v>-28533677.836873755</v>
      </c>
      <c r="K59" s="47">
        <v>-76017.100710029321</v>
      </c>
      <c r="L59" s="47">
        <v>194914956.00312626</v>
      </c>
      <c r="M59" s="47">
        <v>7717.7</v>
      </c>
    </row>
    <row r="60" spans="1:13" x14ac:dyDescent="0.2">
      <c r="A60" s="53" t="s">
        <v>289</v>
      </c>
      <c r="B60" s="54" t="s">
        <v>77</v>
      </c>
      <c r="C60" s="54" t="s">
        <v>86</v>
      </c>
      <c r="D60" s="6">
        <v>1034.8</v>
      </c>
      <c r="E60" s="6">
        <v>444</v>
      </c>
      <c r="F60" s="47">
        <v>9240.1933617399991</v>
      </c>
      <c r="G60" s="47">
        <v>527859.9</v>
      </c>
      <c r="H60" s="6">
        <v>941</v>
      </c>
      <c r="I60" s="47">
        <v>10089611.99</v>
      </c>
      <c r="J60" s="47">
        <v>-1288411.2696247878</v>
      </c>
      <c r="K60" s="47">
        <v>-3432.480376309421</v>
      </c>
      <c r="L60" s="47">
        <v>8801200.7203752119</v>
      </c>
      <c r="M60" s="47">
        <v>7717.7</v>
      </c>
    </row>
    <row r="61" spans="1:13" x14ac:dyDescent="0.2">
      <c r="A61" s="53" t="s">
        <v>290</v>
      </c>
      <c r="B61" s="54" t="s">
        <v>77</v>
      </c>
      <c r="C61" s="54" t="s">
        <v>87</v>
      </c>
      <c r="D61" s="6">
        <v>608.5</v>
      </c>
      <c r="E61" s="6">
        <v>144.80000000000001</v>
      </c>
      <c r="F61" s="47">
        <v>10010.137163949999</v>
      </c>
      <c r="G61" s="47">
        <v>173936.14</v>
      </c>
      <c r="H61" s="6">
        <v>586</v>
      </c>
      <c r="I61" s="47">
        <v>6228376.1799999997</v>
      </c>
      <c r="J61" s="47">
        <v>-795343.77235993044</v>
      </c>
      <c r="K61" s="47">
        <v>-2118.8901055176293</v>
      </c>
      <c r="L61" s="47">
        <v>5433032.4076400697</v>
      </c>
      <c r="M61" s="47">
        <v>7717.7</v>
      </c>
    </row>
    <row r="62" spans="1:13" x14ac:dyDescent="0.2">
      <c r="A62" s="53" t="s">
        <v>291</v>
      </c>
      <c r="B62" s="54" t="s">
        <v>77</v>
      </c>
      <c r="C62" s="54" t="s">
        <v>88</v>
      </c>
      <c r="D62" s="6">
        <v>252.6</v>
      </c>
      <c r="E62" s="6">
        <v>147</v>
      </c>
      <c r="F62" s="47">
        <v>13245.547580979999</v>
      </c>
      <c r="G62" s="47">
        <v>233651.46</v>
      </c>
      <c r="H62" s="6">
        <v>245</v>
      </c>
      <c r="I62" s="47">
        <v>3546544.95</v>
      </c>
      <c r="J62" s="47">
        <v>-452882.47817058815</v>
      </c>
      <c r="K62" s="47">
        <v>-1206.532615589143</v>
      </c>
      <c r="L62" s="47">
        <v>3093662.471829412</v>
      </c>
      <c r="M62" s="47">
        <v>7717.7</v>
      </c>
    </row>
    <row r="63" spans="1:13" x14ac:dyDescent="0.2">
      <c r="A63" s="53" t="s">
        <v>292</v>
      </c>
      <c r="B63" s="54" t="s">
        <v>77</v>
      </c>
      <c r="C63" s="54" t="s">
        <v>89</v>
      </c>
      <c r="D63" s="6">
        <v>6413</v>
      </c>
      <c r="E63" s="6">
        <v>560.5</v>
      </c>
      <c r="F63" s="47">
        <v>8770.0589305400008</v>
      </c>
      <c r="G63" s="47">
        <v>589874.16</v>
      </c>
      <c r="H63" s="6">
        <v>6295</v>
      </c>
      <c r="I63" s="47">
        <v>56831460.380000003</v>
      </c>
      <c r="J63" s="47">
        <v>-7257196.2227485646</v>
      </c>
      <c r="K63" s="47">
        <v>-19334.031150523599</v>
      </c>
      <c r="L63" s="47">
        <v>49574264.15725144</v>
      </c>
      <c r="M63" s="47">
        <v>7717.7</v>
      </c>
    </row>
    <row r="64" spans="1:13" x14ac:dyDescent="0.2">
      <c r="A64" s="53" t="s">
        <v>293</v>
      </c>
      <c r="B64" s="54" t="s">
        <v>77</v>
      </c>
      <c r="C64" s="54" t="s">
        <v>90</v>
      </c>
      <c r="D64" s="6">
        <v>28434.7</v>
      </c>
      <c r="E64" s="6">
        <v>8149</v>
      </c>
      <c r="F64" s="47">
        <v>8664.8904893399995</v>
      </c>
      <c r="G64" s="47">
        <v>8473223.1099999994</v>
      </c>
      <c r="H64" s="6">
        <v>23618</v>
      </c>
      <c r="I64" s="47">
        <v>253501918.31999999</v>
      </c>
      <c r="J64" s="47">
        <v>-32371386.407991141</v>
      </c>
      <c r="K64" s="47">
        <v>-86241.211342181035</v>
      </c>
      <c r="L64" s="47">
        <v>221130531.91200885</v>
      </c>
      <c r="M64" s="47">
        <v>7717.7</v>
      </c>
    </row>
    <row r="65" spans="1:13" x14ac:dyDescent="0.2">
      <c r="A65" s="53" t="s">
        <v>294</v>
      </c>
      <c r="B65" s="54" t="s">
        <v>77</v>
      </c>
      <c r="C65" s="54" t="s">
        <v>91</v>
      </c>
      <c r="D65" s="6">
        <v>190.8</v>
      </c>
      <c r="E65" s="6">
        <v>78.400000000000006</v>
      </c>
      <c r="F65" s="47">
        <v>14960.91613698</v>
      </c>
      <c r="G65" s="47">
        <v>140752.29999999999</v>
      </c>
      <c r="H65" s="6">
        <v>182</v>
      </c>
      <c r="I65" s="47">
        <v>2943935.77</v>
      </c>
      <c r="J65" s="47">
        <v>-375931.20794722723</v>
      </c>
      <c r="K65" s="47">
        <v>-1001.5253083721772</v>
      </c>
      <c r="L65" s="47">
        <v>2568004.5620527728</v>
      </c>
      <c r="M65" s="47">
        <v>7717.7</v>
      </c>
    </row>
    <row r="66" spans="1:13" x14ac:dyDescent="0.2">
      <c r="A66" s="53" t="s">
        <v>295</v>
      </c>
      <c r="B66" s="54" t="s">
        <v>77</v>
      </c>
      <c r="C66" s="54" t="s">
        <v>92</v>
      </c>
      <c r="D66" s="6">
        <v>275.5</v>
      </c>
      <c r="E66" s="6">
        <v>107.7</v>
      </c>
      <c r="F66" s="47">
        <v>12443.176584319999</v>
      </c>
      <c r="G66" s="47">
        <v>160815.60999999999</v>
      </c>
      <c r="H66" s="6">
        <v>227</v>
      </c>
      <c r="I66" s="47">
        <v>3581106.41</v>
      </c>
      <c r="J66" s="47">
        <v>-457295.86637647956</v>
      </c>
      <c r="K66" s="47">
        <v>-1218.2904050209052</v>
      </c>
      <c r="L66" s="47">
        <v>3123810.5436235205</v>
      </c>
      <c r="M66" s="47">
        <v>7717.7</v>
      </c>
    </row>
    <row r="67" spans="1:13" x14ac:dyDescent="0.2">
      <c r="A67" s="53" t="s">
        <v>296</v>
      </c>
      <c r="B67" s="54" t="s">
        <v>93</v>
      </c>
      <c r="C67" s="54" t="s">
        <v>94</v>
      </c>
      <c r="D67" s="6">
        <v>3643.9</v>
      </c>
      <c r="E67" s="6">
        <v>1670.3</v>
      </c>
      <c r="F67" s="47">
        <v>8322.4254781399995</v>
      </c>
      <c r="G67" s="47">
        <v>1881933.93</v>
      </c>
      <c r="H67" s="6">
        <v>3225</v>
      </c>
      <c r="I67" s="47">
        <v>32237945.530000001</v>
      </c>
      <c r="J67" s="47">
        <v>-4116682.8190785614</v>
      </c>
      <c r="K67" s="47">
        <v>-10967.331103904724</v>
      </c>
      <c r="L67" s="47">
        <v>28121262.71092144</v>
      </c>
      <c r="M67" s="47">
        <v>7717.7</v>
      </c>
    </row>
    <row r="68" spans="1:13" x14ac:dyDescent="0.2">
      <c r="A68" s="53" t="s">
        <v>297</v>
      </c>
      <c r="B68" s="54" t="s">
        <v>93</v>
      </c>
      <c r="C68" s="54" t="s">
        <v>95</v>
      </c>
      <c r="D68" s="6">
        <v>1363</v>
      </c>
      <c r="E68" s="6">
        <v>509.8</v>
      </c>
      <c r="F68" s="47">
        <v>8729.6614692900002</v>
      </c>
      <c r="G68" s="47">
        <v>539894.65</v>
      </c>
      <c r="H68" s="6">
        <v>1285</v>
      </c>
      <c r="I68" s="47">
        <v>12438423.23</v>
      </c>
      <c r="J68" s="47">
        <v>-1588346.973280858</v>
      </c>
      <c r="K68" s="47">
        <v>-4231.544651223624</v>
      </c>
      <c r="L68" s="47">
        <v>10850076.256719142</v>
      </c>
      <c r="M68" s="47">
        <v>7717.7</v>
      </c>
    </row>
    <row r="69" spans="1:13" x14ac:dyDescent="0.2">
      <c r="A69" s="53" t="s">
        <v>298</v>
      </c>
      <c r="B69" s="54" t="s">
        <v>93</v>
      </c>
      <c r="C69" s="54" t="s">
        <v>96</v>
      </c>
      <c r="D69" s="6">
        <v>201.7</v>
      </c>
      <c r="E69" s="6">
        <v>83</v>
      </c>
      <c r="F69" s="47">
        <v>14236.28898723</v>
      </c>
      <c r="G69" s="47">
        <v>141793.44</v>
      </c>
      <c r="H69" s="6">
        <v>176</v>
      </c>
      <c r="I69" s="47">
        <v>3013252.93</v>
      </c>
      <c r="J69" s="47">
        <v>-384782.78818746842</v>
      </c>
      <c r="K69" s="47">
        <v>-1025.1069675754566</v>
      </c>
      <c r="L69" s="47">
        <v>2628470.1418125317</v>
      </c>
      <c r="M69" s="47">
        <v>7717.7</v>
      </c>
    </row>
    <row r="70" spans="1:13" x14ac:dyDescent="0.2">
      <c r="A70" s="53" t="s">
        <v>299</v>
      </c>
      <c r="B70" s="54" t="s">
        <v>97</v>
      </c>
      <c r="C70" s="54" t="s">
        <v>98</v>
      </c>
      <c r="D70" s="6">
        <v>6194.8</v>
      </c>
      <c r="E70" s="6">
        <v>1587.3</v>
      </c>
      <c r="F70" s="47">
        <v>9283.2358467199992</v>
      </c>
      <c r="G70" s="47">
        <v>1768233.63</v>
      </c>
      <c r="H70" s="6">
        <v>5785</v>
      </c>
      <c r="I70" s="47">
        <v>59275280.82</v>
      </c>
      <c r="J70" s="47">
        <v>-7569264.2982063806</v>
      </c>
      <c r="K70" s="47">
        <v>-17933.681993275281</v>
      </c>
      <c r="L70" s="47">
        <v>51706016.521793619</v>
      </c>
      <c r="M70" s="47">
        <v>7717.7</v>
      </c>
    </row>
    <row r="71" spans="1:13" x14ac:dyDescent="0.2">
      <c r="A71" s="53" t="s">
        <v>300</v>
      </c>
      <c r="B71" s="54" t="s">
        <v>97</v>
      </c>
      <c r="C71" s="54" t="s">
        <v>99</v>
      </c>
      <c r="D71" s="6">
        <v>4744.8</v>
      </c>
      <c r="E71" s="6">
        <v>1796.3</v>
      </c>
      <c r="F71" s="47">
        <v>8619.21930531</v>
      </c>
      <c r="G71" s="47">
        <v>1902917.02</v>
      </c>
      <c r="H71" s="6">
        <v>4290</v>
      </c>
      <c r="I71" s="47">
        <v>42799388.780000001</v>
      </c>
      <c r="J71" s="47">
        <v>-5465345.4356677094</v>
      </c>
      <c r="K71" s="47">
        <v>-14560.328211926377</v>
      </c>
      <c r="L71" s="47">
        <v>37334043.344332293</v>
      </c>
      <c r="M71" s="47">
        <v>7717.7</v>
      </c>
    </row>
    <row r="72" spans="1:13" x14ac:dyDescent="0.2">
      <c r="A72" s="53" t="s">
        <v>301</v>
      </c>
      <c r="B72" s="54" t="s">
        <v>97</v>
      </c>
      <c r="C72" s="54" t="s">
        <v>100</v>
      </c>
      <c r="D72" s="6">
        <v>1207.8</v>
      </c>
      <c r="E72" s="6">
        <v>572.29999999999995</v>
      </c>
      <c r="F72" s="47">
        <v>9298.5755617100003</v>
      </c>
      <c r="G72" s="47">
        <v>733428.86</v>
      </c>
      <c r="H72" s="6">
        <v>1074</v>
      </c>
      <c r="I72" s="47">
        <v>11964248.42</v>
      </c>
      <c r="J72" s="47">
        <v>-1527796.3624564081</v>
      </c>
      <c r="K72" s="47">
        <v>-4070.2306451073946</v>
      </c>
      <c r="L72" s="47">
        <v>10436452.057543593</v>
      </c>
      <c r="M72" s="47">
        <v>7717.7</v>
      </c>
    </row>
    <row r="73" spans="1:13" x14ac:dyDescent="0.2">
      <c r="A73" s="53" t="s">
        <v>302</v>
      </c>
      <c r="B73" s="54" t="s">
        <v>101</v>
      </c>
      <c r="C73" s="54" t="s">
        <v>101</v>
      </c>
      <c r="D73" s="6">
        <v>445.5</v>
      </c>
      <c r="E73" s="6">
        <v>107.1</v>
      </c>
      <c r="F73" s="47">
        <v>10664.849166440001</v>
      </c>
      <c r="G73" s="47">
        <v>137064.64000000001</v>
      </c>
      <c r="H73" s="6">
        <v>405</v>
      </c>
      <c r="I73" s="47">
        <v>4888254.9400000004</v>
      </c>
      <c r="J73" s="47">
        <v>-624214.56441904674</v>
      </c>
      <c r="K73" s="47">
        <v>-1662.9816064857007</v>
      </c>
      <c r="L73" s="47">
        <v>4264040.3755809534</v>
      </c>
      <c r="M73" s="47">
        <v>7717.7</v>
      </c>
    </row>
    <row r="74" spans="1:13" x14ac:dyDescent="0.2">
      <c r="A74" s="53" t="s">
        <v>303</v>
      </c>
      <c r="B74" s="54" t="s">
        <v>102</v>
      </c>
      <c r="C74" s="54" t="s">
        <v>103</v>
      </c>
      <c r="D74" s="6">
        <v>428</v>
      </c>
      <c r="E74" s="6">
        <v>90.3</v>
      </c>
      <c r="F74" s="47">
        <v>10925.30426841</v>
      </c>
      <c r="G74" s="47">
        <v>118386.6</v>
      </c>
      <c r="H74" s="6">
        <v>399</v>
      </c>
      <c r="I74" s="47">
        <v>4794416.83</v>
      </c>
      <c r="J74" s="47">
        <v>-612231.73707502999</v>
      </c>
      <c r="K74" s="47">
        <v>-1631.057933757334</v>
      </c>
      <c r="L74" s="47">
        <v>4182185.0929249702</v>
      </c>
      <c r="M74" s="47">
        <v>7717.7</v>
      </c>
    </row>
    <row r="75" spans="1:13" x14ac:dyDescent="0.2">
      <c r="A75" s="53" t="s">
        <v>304</v>
      </c>
      <c r="B75" s="54" t="s">
        <v>102</v>
      </c>
      <c r="C75" s="54" t="s">
        <v>104</v>
      </c>
      <c r="D75" s="6">
        <v>1305.7</v>
      </c>
      <c r="E75" s="6">
        <v>279.5</v>
      </c>
      <c r="F75" s="47">
        <v>9099.2654274300003</v>
      </c>
      <c r="G75" s="47">
        <v>305189.36</v>
      </c>
      <c r="H75" s="6">
        <v>1227</v>
      </c>
      <c r="I75" s="47">
        <v>12186100.23</v>
      </c>
      <c r="J75" s="47">
        <v>-1556126.1309820912</v>
      </c>
      <c r="K75" s="47">
        <v>-4145.7045072369256</v>
      </c>
      <c r="L75" s="47">
        <v>10629974.099017909</v>
      </c>
      <c r="M75" s="47">
        <v>7717.7</v>
      </c>
    </row>
    <row r="76" spans="1:13" x14ac:dyDescent="0.2">
      <c r="A76" s="53" t="s">
        <v>305</v>
      </c>
      <c r="B76" s="54" t="s">
        <v>105</v>
      </c>
      <c r="C76" s="54" t="s">
        <v>105</v>
      </c>
      <c r="D76" s="6">
        <v>2054.3000000000002</v>
      </c>
      <c r="E76" s="6">
        <v>380.6</v>
      </c>
      <c r="F76" s="47">
        <v>8971.6243793600006</v>
      </c>
      <c r="G76" s="47">
        <v>409752.03</v>
      </c>
      <c r="H76" s="6">
        <v>2003</v>
      </c>
      <c r="I76" s="47">
        <v>18840159.989999998</v>
      </c>
      <c r="J76" s="47">
        <v>-2405828.338761521</v>
      </c>
      <c r="K76" s="47">
        <v>-6409.4119294477341</v>
      </c>
      <c r="L76" s="47">
        <v>16434331.651238477</v>
      </c>
      <c r="M76" s="47">
        <v>7717.7</v>
      </c>
    </row>
    <row r="77" spans="1:13" x14ac:dyDescent="0.2">
      <c r="A77" s="53" t="s">
        <v>306</v>
      </c>
      <c r="B77" s="54" t="s">
        <v>106</v>
      </c>
      <c r="C77" s="54" t="s">
        <v>106</v>
      </c>
      <c r="D77" s="6">
        <v>80.900000000000006</v>
      </c>
      <c r="E77" s="6">
        <v>11.9</v>
      </c>
      <c r="F77" s="47">
        <v>18955.259863430001</v>
      </c>
      <c r="G77" s="47">
        <v>27068.11</v>
      </c>
      <c r="H77" s="6">
        <v>56</v>
      </c>
      <c r="I77" s="47">
        <v>1560548.63</v>
      </c>
      <c r="J77" s="47">
        <v>-199277.08257585065</v>
      </c>
      <c r="K77" s="47">
        <v>-530.89777427125341</v>
      </c>
      <c r="L77" s="47">
        <v>1361271.5474241492</v>
      </c>
      <c r="M77" s="47">
        <v>7717.7</v>
      </c>
    </row>
    <row r="78" spans="1:13" x14ac:dyDescent="0.2">
      <c r="A78" s="53" t="s">
        <v>307</v>
      </c>
      <c r="B78" s="54" t="s">
        <v>107</v>
      </c>
      <c r="C78" s="54" t="s">
        <v>107</v>
      </c>
      <c r="D78" s="6">
        <v>526.5</v>
      </c>
      <c r="E78" s="6">
        <v>412.6</v>
      </c>
      <c r="F78" s="47">
        <v>9277.3408742699994</v>
      </c>
      <c r="G78" s="47">
        <v>765481</v>
      </c>
      <c r="H78" s="6">
        <v>501</v>
      </c>
      <c r="I78" s="47">
        <v>5472832.6200000001</v>
      </c>
      <c r="J78" s="47">
        <v>-698863.26960509352</v>
      </c>
      <c r="K78" s="47">
        <v>-1861.8546074511708</v>
      </c>
      <c r="L78" s="47">
        <v>4773969.3503949065</v>
      </c>
      <c r="M78" s="47">
        <v>7717.7</v>
      </c>
    </row>
    <row r="79" spans="1:13" x14ac:dyDescent="0.2">
      <c r="A79" s="53" t="s">
        <v>308</v>
      </c>
      <c r="B79" s="54" t="s">
        <v>107</v>
      </c>
      <c r="C79" s="54" t="s">
        <v>108</v>
      </c>
      <c r="D79" s="6">
        <v>215.8</v>
      </c>
      <c r="E79" s="6">
        <v>88.6</v>
      </c>
      <c r="F79" s="47">
        <v>13223.7757611</v>
      </c>
      <c r="G79" s="47">
        <v>140595.18</v>
      </c>
      <c r="H79" s="6">
        <v>195</v>
      </c>
      <c r="I79" s="47">
        <v>2994285.99</v>
      </c>
      <c r="J79" s="47">
        <v>-382360.7704458033</v>
      </c>
      <c r="K79" s="47">
        <v>-1018.6544251572582</v>
      </c>
      <c r="L79" s="47">
        <v>2611925.219554197</v>
      </c>
      <c r="M79" s="47">
        <v>7717.7</v>
      </c>
    </row>
    <row r="80" spans="1:13" x14ac:dyDescent="0.2">
      <c r="A80" s="53" t="s">
        <v>309</v>
      </c>
      <c r="B80" s="54" t="s">
        <v>109</v>
      </c>
      <c r="C80" s="54" t="s">
        <v>110</v>
      </c>
      <c r="D80" s="6">
        <v>164</v>
      </c>
      <c r="E80" s="6">
        <v>44.3</v>
      </c>
      <c r="F80" s="47">
        <v>15787.621341620001</v>
      </c>
      <c r="G80" s="47">
        <v>83927</v>
      </c>
      <c r="H80" s="6">
        <v>136</v>
      </c>
      <c r="I80" s="47">
        <v>2673096.9</v>
      </c>
      <c r="J80" s="47">
        <v>-20.56</v>
      </c>
      <c r="K80" s="47">
        <v>0</v>
      </c>
      <c r="L80" s="47">
        <v>2673076.34</v>
      </c>
      <c r="M80" s="47">
        <v>7717.7</v>
      </c>
    </row>
    <row r="81" spans="1:13" x14ac:dyDescent="0.2">
      <c r="A81" s="53" t="s">
        <v>310</v>
      </c>
      <c r="B81" s="54" t="s">
        <v>111</v>
      </c>
      <c r="C81" s="54" t="s">
        <v>111</v>
      </c>
      <c r="D81" s="6">
        <v>81739.100000000006</v>
      </c>
      <c r="E81" s="6">
        <v>20775.5</v>
      </c>
      <c r="F81" s="47">
        <v>8838.6421605600008</v>
      </c>
      <c r="G81" s="47">
        <v>22035265.219999999</v>
      </c>
      <c r="H81" s="6">
        <v>78516</v>
      </c>
      <c r="I81" s="47">
        <v>744382881.95000005</v>
      </c>
      <c r="J81" s="47">
        <v>-95055319.765587747</v>
      </c>
      <c r="K81" s="47">
        <v>-251083.25343701546</v>
      </c>
      <c r="L81" s="47">
        <v>649327562.18441224</v>
      </c>
      <c r="M81" s="47">
        <v>7717.7</v>
      </c>
    </row>
    <row r="82" spans="1:13" x14ac:dyDescent="0.2">
      <c r="A82" s="53" t="s">
        <v>311</v>
      </c>
      <c r="B82" s="54" t="s">
        <v>74</v>
      </c>
      <c r="C82" s="54" t="s">
        <v>112</v>
      </c>
      <c r="D82" s="6">
        <v>195.5</v>
      </c>
      <c r="E82" s="6">
        <v>73.400000000000006</v>
      </c>
      <c r="F82" s="47">
        <v>13782.178309749999</v>
      </c>
      <c r="G82" s="47">
        <v>121393.43</v>
      </c>
      <c r="H82" s="6">
        <v>185</v>
      </c>
      <c r="I82" s="47">
        <v>2815809.29</v>
      </c>
      <c r="J82" s="47">
        <v>-359569.86511928018</v>
      </c>
      <c r="K82" s="47">
        <v>-957.93675127786196</v>
      </c>
      <c r="L82" s="47">
        <v>2456239.4248807197</v>
      </c>
      <c r="M82" s="47">
        <v>7717.7</v>
      </c>
    </row>
    <row r="83" spans="1:13" x14ac:dyDescent="0.2">
      <c r="A83" s="53" t="s">
        <v>312</v>
      </c>
      <c r="B83" s="54" t="s">
        <v>74</v>
      </c>
      <c r="C83" s="54" t="s">
        <v>113</v>
      </c>
      <c r="D83" s="6">
        <v>50.6</v>
      </c>
      <c r="E83" s="6">
        <v>28</v>
      </c>
      <c r="F83" s="47">
        <v>17565.1866434</v>
      </c>
      <c r="G83" s="47">
        <v>59019.03</v>
      </c>
      <c r="H83" s="6">
        <v>37</v>
      </c>
      <c r="I83" s="47">
        <v>947817.47</v>
      </c>
      <c r="J83" s="47">
        <v>-121033.26779122793</v>
      </c>
      <c r="K83" s="47">
        <v>-322.44697509901403</v>
      </c>
      <c r="L83" s="47">
        <v>826784.20220877207</v>
      </c>
      <c r="M83" s="47">
        <v>7717.7</v>
      </c>
    </row>
    <row r="84" spans="1:13" x14ac:dyDescent="0.2">
      <c r="A84" s="53" t="s">
        <v>313</v>
      </c>
      <c r="B84" s="54" t="s">
        <v>55</v>
      </c>
      <c r="C84" s="54" t="s">
        <v>114</v>
      </c>
      <c r="D84" s="6">
        <v>157.80000000000001</v>
      </c>
      <c r="E84" s="6">
        <v>50.2</v>
      </c>
      <c r="F84" s="47">
        <v>14962.23439793</v>
      </c>
      <c r="G84" s="47">
        <v>90132.5</v>
      </c>
      <c r="H84" s="6">
        <v>140</v>
      </c>
      <c r="I84" s="47">
        <v>2451173.09</v>
      </c>
      <c r="J84" s="47">
        <v>-313006.98541104293</v>
      </c>
      <c r="K84" s="47">
        <v>-833.88771924050241</v>
      </c>
      <c r="L84" s="47">
        <v>2138166.104588957</v>
      </c>
      <c r="M84" s="47">
        <v>7717.7</v>
      </c>
    </row>
    <row r="85" spans="1:13" x14ac:dyDescent="0.2">
      <c r="A85" s="53" t="s">
        <v>314</v>
      </c>
      <c r="B85" s="54" t="s">
        <v>55</v>
      </c>
      <c r="C85" s="54" t="s">
        <v>115</v>
      </c>
      <c r="D85" s="6">
        <v>141</v>
      </c>
      <c r="E85" s="6">
        <v>55.7</v>
      </c>
      <c r="F85" s="47">
        <v>14979.451497530001</v>
      </c>
      <c r="G85" s="47">
        <v>100122.65</v>
      </c>
      <c r="H85" s="6">
        <v>134</v>
      </c>
      <c r="I85" s="47">
        <v>2212225.31</v>
      </c>
      <c r="J85" s="47">
        <v>-282494.11604510964</v>
      </c>
      <c r="K85" s="47">
        <v>-752.59781764412787</v>
      </c>
      <c r="L85" s="47">
        <v>1929731.1939548904</v>
      </c>
      <c r="M85" s="47">
        <v>7717.7</v>
      </c>
    </row>
    <row r="86" spans="1:13" x14ac:dyDescent="0.2">
      <c r="A86" s="53" t="s">
        <v>315</v>
      </c>
      <c r="B86" s="54" t="s">
        <v>55</v>
      </c>
      <c r="C86" s="54" t="s">
        <v>116</v>
      </c>
      <c r="D86" s="6">
        <v>213</v>
      </c>
      <c r="E86" s="6">
        <v>70</v>
      </c>
      <c r="F86" s="47">
        <v>13404.94435451</v>
      </c>
      <c r="G86" s="47">
        <v>112601.53</v>
      </c>
      <c r="H86" s="6">
        <v>190</v>
      </c>
      <c r="I86" s="47">
        <v>2967854.68</v>
      </c>
      <c r="J86" s="47">
        <v>-378985.57646324992</v>
      </c>
      <c r="K86" s="47">
        <v>-1009.6625082247665</v>
      </c>
      <c r="L86" s="47">
        <v>2588869.1035367502</v>
      </c>
      <c r="M86" s="47">
        <v>7717.7</v>
      </c>
    </row>
    <row r="87" spans="1:13" x14ac:dyDescent="0.2">
      <c r="A87" s="53" t="s">
        <v>316</v>
      </c>
      <c r="B87" s="54" t="s">
        <v>55</v>
      </c>
      <c r="C87" s="54" t="s">
        <v>117</v>
      </c>
      <c r="D87" s="6">
        <v>110.8</v>
      </c>
      <c r="E87" s="6">
        <v>55</v>
      </c>
      <c r="F87" s="47">
        <v>16287.84208782</v>
      </c>
      <c r="G87" s="47">
        <v>107499.76</v>
      </c>
      <c r="H87" s="6">
        <v>101</v>
      </c>
      <c r="I87" s="47">
        <v>1912192.66</v>
      </c>
      <c r="J87" s="47">
        <v>-244180.90361449073</v>
      </c>
      <c r="K87" s="47">
        <v>-650.52687731482456</v>
      </c>
      <c r="L87" s="47">
        <v>1668011.7563855092</v>
      </c>
      <c r="M87" s="47">
        <v>7717.7</v>
      </c>
    </row>
    <row r="88" spans="1:13" x14ac:dyDescent="0.2">
      <c r="A88" s="53" t="s">
        <v>317</v>
      </c>
      <c r="B88" s="54" t="s">
        <v>55</v>
      </c>
      <c r="C88" s="54" t="s">
        <v>118</v>
      </c>
      <c r="D88" s="6">
        <v>724.3</v>
      </c>
      <c r="E88" s="6">
        <v>325.60000000000002</v>
      </c>
      <c r="F88" s="47">
        <v>8931.4380698200002</v>
      </c>
      <c r="G88" s="47">
        <v>378567.22</v>
      </c>
      <c r="H88" s="6">
        <v>674</v>
      </c>
      <c r="I88" s="47">
        <v>6847607.8099999996</v>
      </c>
      <c r="J88" s="47">
        <v>-874417.67642986553</v>
      </c>
      <c r="K88" s="47">
        <v>-2329.5523609613188</v>
      </c>
      <c r="L88" s="47">
        <v>5973190.1335701337</v>
      </c>
      <c r="M88" s="47">
        <v>7717.7</v>
      </c>
    </row>
    <row r="89" spans="1:13" x14ac:dyDescent="0.2">
      <c r="A89" s="53" t="s">
        <v>318</v>
      </c>
      <c r="B89" s="54" t="s">
        <v>119</v>
      </c>
      <c r="C89" s="54" t="s">
        <v>119</v>
      </c>
      <c r="D89" s="6">
        <v>997.5</v>
      </c>
      <c r="E89" s="6">
        <v>405</v>
      </c>
      <c r="F89" s="47">
        <v>9244.8403654499998</v>
      </c>
      <c r="G89" s="47">
        <v>466722.16</v>
      </c>
      <c r="H89" s="6">
        <v>926</v>
      </c>
      <c r="I89" s="47">
        <v>9688450.4199999999</v>
      </c>
      <c r="J89" s="47">
        <v>-1237184.2166676826</v>
      </c>
      <c r="K89" s="47">
        <v>-3296.0054337527376</v>
      </c>
      <c r="L89" s="47">
        <v>8451266.203332318</v>
      </c>
      <c r="M89" s="47">
        <v>7717.7</v>
      </c>
    </row>
    <row r="90" spans="1:13" x14ac:dyDescent="0.2">
      <c r="A90" s="53" t="s">
        <v>319</v>
      </c>
      <c r="B90" s="54" t="s">
        <v>120</v>
      </c>
      <c r="C90" s="54" t="s">
        <v>121</v>
      </c>
      <c r="D90" s="6">
        <v>7301.6</v>
      </c>
      <c r="E90" s="6">
        <v>1995.3</v>
      </c>
      <c r="F90" s="47">
        <v>8945.7734153399997</v>
      </c>
      <c r="G90" s="47">
        <v>2141940.2000000002</v>
      </c>
      <c r="H90" s="6">
        <v>7205</v>
      </c>
      <c r="I90" s="47">
        <v>66525372.780000001</v>
      </c>
      <c r="J90" s="47">
        <v>-8495077.9168408923</v>
      </c>
      <c r="K90" s="47">
        <v>-21222.2109581894</v>
      </c>
      <c r="L90" s="47">
        <v>58030294.863159105</v>
      </c>
      <c r="M90" s="47">
        <v>7717.7</v>
      </c>
    </row>
    <row r="91" spans="1:13" x14ac:dyDescent="0.2">
      <c r="A91" s="53" t="s">
        <v>320</v>
      </c>
      <c r="B91" s="54" t="s">
        <v>120</v>
      </c>
      <c r="C91" s="54" t="s">
        <v>122</v>
      </c>
      <c r="D91" s="6">
        <v>1389.2</v>
      </c>
      <c r="E91" s="6">
        <v>342.9</v>
      </c>
      <c r="F91" s="47">
        <v>9379.4185414099993</v>
      </c>
      <c r="G91" s="47">
        <v>385944.31</v>
      </c>
      <c r="H91" s="6">
        <v>1305</v>
      </c>
      <c r="I91" s="47">
        <v>13404933.109999999</v>
      </c>
      <c r="J91" s="47">
        <v>-1711767.2022083828</v>
      </c>
      <c r="K91" s="47">
        <v>-4560.3507737878253</v>
      </c>
      <c r="L91" s="47">
        <v>11693165.907791616</v>
      </c>
      <c r="M91" s="47">
        <v>7717.7</v>
      </c>
    </row>
    <row r="92" spans="1:13" x14ac:dyDescent="0.2">
      <c r="A92" s="53" t="s">
        <v>321</v>
      </c>
      <c r="B92" s="54" t="s">
        <v>120</v>
      </c>
      <c r="C92" s="54" t="s">
        <v>123</v>
      </c>
      <c r="D92" s="6">
        <v>796.8</v>
      </c>
      <c r="E92" s="6">
        <v>284.3</v>
      </c>
      <c r="F92" s="47">
        <v>9743.1193530399996</v>
      </c>
      <c r="G92" s="47">
        <v>536179.84</v>
      </c>
      <c r="H92" s="6">
        <v>485</v>
      </c>
      <c r="I92" s="47">
        <v>8782083.1199999992</v>
      </c>
      <c r="J92" s="47">
        <v>-1121444.0033773405</v>
      </c>
      <c r="K92" s="47">
        <v>-2987.6597833885794</v>
      </c>
      <c r="L92" s="47">
        <v>7660639.1166226584</v>
      </c>
      <c r="M92" s="47">
        <v>7717.7</v>
      </c>
    </row>
    <row r="93" spans="1:13" x14ac:dyDescent="0.2">
      <c r="A93" s="53" t="s">
        <v>322</v>
      </c>
      <c r="B93" s="54" t="s">
        <v>124</v>
      </c>
      <c r="C93" s="54" t="s">
        <v>125</v>
      </c>
      <c r="D93" s="6">
        <v>32210.3</v>
      </c>
      <c r="E93" s="6">
        <v>6453.5</v>
      </c>
      <c r="F93" s="47">
        <v>8515.1900313599999</v>
      </c>
      <c r="G93" s="47">
        <v>6594333.46</v>
      </c>
      <c r="H93" s="6">
        <v>32241</v>
      </c>
      <c r="I93" s="47">
        <v>284881807.72000003</v>
      </c>
      <c r="J93" s="47">
        <v>-36378498.196096629</v>
      </c>
      <c r="K93" s="47">
        <v>-88703.700481035048</v>
      </c>
      <c r="L93" s="47">
        <v>248503309.5239034</v>
      </c>
      <c r="M93" s="47">
        <v>7717.7</v>
      </c>
    </row>
    <row r="94" spans="1:13" x14ac:dyDescent="0.2">
      <c r="A94" s="53" t="s">
        <v>323</v>
      </c>
      <c r="B94" s="54" t="s">
        <v>124</v>
      </c>
      <c r="C94" s="54" t="s">
        <v>126</v>
      </c>
      <c r="D94" s="6">
        <v>15268.4</v>
      </c>
      <c r="E94" s="6">
        <v>3954.6</v>
      </c>
      <c r="F94" s="47">
        <v>8503.7472147999997</v>
      </c>
      <c r="G94" s="47">
        <v>4035470.25</v>
      </c>
      <c r="H94" s="6">
        <v>14515</v>
      </c>
      <c r="I94" s="47">
        <v>135080730.93000001</v>
      </c>
      <c r="J94" s="47">
        <v>-17249378.490655482</v>
      </c>
      <c r="K94" s="47">
        <v>-45954.389385270908</v>
      </c>
      <c r="L94" s="47">
        <v>117831352.43934453</v>
      </c>
      <c r="M94" s="47">
        <v>7717.7</v>
      </c>
    </row>
    <row r="95" spans="1:13" x14ac:dyDescent="0.2">
      <c r="A95" s="53" t="s">
        <v>324</v>
      </c>
      <c r="B95" s="54" t="s">
        <v>124</v>
      </c>
      <c r="C95" s="54" t="s">
        <v>127</v>
      </c>
      <c r="D95" s="6">
        <v>1066.9000000000001</v>
      </c>
      <c r="E95" s="6">
        <v>368.9</v>
      </c>
      <c r="F95" s="47">
        <v>9428.4923634400002</v>
      </c>
      <c r="G95" s="47">
        <v>417816.57</v>
      </c>
      <c r="H95" s="6">
        <v>1004</v>
      </c>
      <c r="I95" s="47">
        <v>10476187.58</v>
      </c>
      <c r="J95" s="47">
        <v>-724747.58</v>
      </c>
      <c r="K95" s="47">
        <v>0</v>
      </c>
      <c r="L95" s="47">
        <v>9751440</v>
      </c>
      <c r="M95" s="47">
        <v>7717.7</v>
      </c>
    </row>
    <row r="96" spans="1:13" x14ac:dyDescent="0.2">
      <c r="A96" s="53" t="s">
        <v>325</v>
      </c>
      <c r="B96" s="54" t="s">
        <v>47</v>
      </c>
      <c r="C96" s="54" t="s">
        <v>128</v>
      </c>
      <c r="D96" s="6">
        <v>966.1</v>
      </c>
      <c r="E96" s="6">
        <v>597.9</v>
      </c>
      <c r="F96" s="47">
        <v>9127.0902179799996</v>
      </c>
      <c r="G96" s="47">
        <v>1025698.75</v>
      </c>
      <c r="H96" s="6">
        <v>773</v>
      </c>
      <c r="I96" s="47">
        <v>9843380.6099999994</v>
      </c>
      <c r="J96" s="47">
        <v>-1256968.307770388</v>
      </c>
      <c r="K96" s="47">
        <v>-3348.7125980520145</v>
      </c>
      <c r="L96" s="47">
        <v>8586412.3022296112</v>
      </c>
      <c r="M96" s="47">
        <v>7717.7</v>
      </c>
    </row>
    <row r="97" spans="1:13" x14ac:dyDescent="0.2">
      <c r="A97" s="53" t="s">
        <v>326</v>
      </c>
      <c r="B97" s="54" t="s">
        <v>47</v>
      </c>
      <c r="C97" s="54" t="s">
        <v>129</v>
      </c>
      <c r="D97" s="6">
        <v>207.5</v>
      </c>
      <c r="E97" s="6">
        <v>113.7</v>
      </c>
      <c r="F97" s="47">
        <v>13942.82932008</v>
      </c>
      <c r="G97" s="47">
        <v>190235.96</v>
      </c>
      <c r="H97" s="6">
        <v>203</v>
      </c>
      <c r="I97" s="47">
        <v>3083373.04</v>
      </c>
      <c r="J97" s="47">
        <v>-393736.9025816464</v>
      </c>
      <c r="K97" s="47">
        <v>-1048.9617899212717</v>
      </c>
      <c r="L97" s="47">
        <v>2689636.1374183535</v>
      </c>
      <c r="M97" s="47">
        <v>7717.7</v>
      </c>
    </row>
    <row r="98" spans="1:13" x14ac:dyDescent="0.2">
      <c r="A98" s="53" t="s">
        <v>327</v>
      </c>
      <c r="B98" s="54" t="s">
        <v>47</v>
      </c>
      <c r="C98" s="54" t="s">
        <v>130</v>
      </c>
      <c r="D98" s="6">
        <v>358.9</v>
      </c>
      <c r="E98" s="6">
        <v>91.9</v>
      </c>
      <c r="F98" s="47">
        <v>10958.590237509999</v>
      </c>
      <c r="G98" s="47">
        <v>120851.33</v>
      </c>
      <c r="H98" s="6">
        <v>319</v>
      </c>
      <c r="I98" s="47">
        <v>4053889.37</v>
      </c>
      <c r="J98" s="47">
        <v>-517668.74239532882</v>
      </c>
      <c r="K98" s="47">
        <v>-1379.1309045427786</v>
      </c>
      <c r="L98" s="47">
        <v>3536220.6276046713</v>
      </c>
      <c r="M98" s="47">
        <v>7717.7</v>
      </c>
    </row>
    <row r="99" spans="1:13" x14ac:dyDescent="0.2">
      <c r="A99" s="53" t="s">
        <v>328</v>
      </c>
      <c r="B99" s="54" t="s">
        <v>47</v>
      </c>
      <c r="C99" s="54" t="s">
        <v>131</v>
      </c>
      <c r="D99" s="6">
        <v>110.1</v>
      </c>
      <c r="E99" s="6">
        <v>66.8</v>
      </c>
      <c r="F99" s="47">
        <v>16270.35431477</v>
      </c>
      <c r="G99" s="47">
        <v>130423.16</v>
      </c>
      <c r="H99" s="6">
        <v>88</v>
      </c>
      <c r="I99" s="47">
        <v>1921789.17</v>
      </c>
      <c r="J99" s="47">
        <v>-245406.34733277457</v>
      </c>
      <c r="K99" s="47">
        <v>-653.79160466892938</v>
      </c>
      <c r="L99" s="47">
        <v>1676382.8226672253</v>
      </c>
      <c r="M99" s="47">
        <v>7717.7</v>
      </c>
    </row>
    <row r="100" spans="1:13" x14ac:dyDescent="0.2">
      <c r="A100" s="53" t="s">
        <v>329</v>
      </c>
      <c r="B100" s="54" t="s">
        <v>47</v>
      </c>
      <c r="C100" s="54" t="s">
        <v>132</v>
      </c>
      <c r="D100" s="6">
        <v>593.9</v>
      </c>
      <c r="E100" s="6">
        <v>137</v>
      </c>
      <c r="F100" s="47">
        <v>8682.8093541800008</v>
      </c>
      <c r="G100" s="47">
        <v>142745.39000000001</v>
      </c>
      <c r="H100" s="6">
        <v>590</v>
      </c>
      <c r="I100" s="47">
        <v>5225866.8099999996</v>
      </c>
      <c r="J100" s="47">
        <v>-667326.52338220773</v>
      </c>
      <c r="K100" s="47">
        <v>-1777.8369765170439</v>
      </c>
      <c r="L100" s="47">
        <v>4558540.2866177922</v>
      </c>
      <c r="M100" s="47">
        <v>7717.7</v>
      </c>
    </row>
    <row r="101" spans="1:13" x14ac:dyDescent="0.2">
      <c r="A101" s="53" t="s">
        <v>330</v>
      </c>
      <c r="B101" s="54" t="s">
        <v>47</v>
      </c>
      <c r="C101" s="54" t="s">
        <v>133</v>
      </c>
      <c r="D101" s="6">
        <v>50</v>
      </c>
      <c r="E101" s="6">
        <v>10.6</v>
      </c>
      <c r="F101" s="47">
        <v>17160.796987559999</v>
      </c>
      <c r="G101" s="47">
        <v>21828.53</v>
      </c>
      <c r="H101" s="6">
        <v>37</v>
      </c>
      <c r="I101" s="47">
        <v>879868.38</v>
      </c>
      <c r="J101" s="47">
        <v>-112356.38572643518</v>
      </c>
      <c r="K101" s="47">
        <v>-299.33073254734353</v>
      </c>
      <c r="L101" s="47">
        <v>767511.99427356478</v>
      </c>
      <c r="M101" s="47">
        <v>7717.7</v>
      </c>
    </row>
    <row r="102" spans="1:13" x14ac:dyDescent="0.2">
      <c r="A102" s="53" t="s">
        <v>331</v>
      </c>
      <c r="B102" s="54" t="s">
        <v>134</v>
      </c>
      <c r="C102" s="54" t="s">
        <v>135</v>
      </c>
      <c r="D102" s="6">
        <v>200.6</v>
      </c>
      <c r="E102" s="6">
        <v>66</v>
      </c>
      <c r="F102" s="47">
        <v>14163.301712459999</v>
      </c>
      <c r="G102" s="47">
        <v>112173.35</v>
      </c>
      <c r="H102" s="6">
        <v>197</v>
      </c>
      <c r="I102" s="47">
        <v>2953331.67</v>
      </c>
      <c r="J102" s="47">
        <v>-377131.03440837021</v>
      </c>
      <c r="K102" s="47">
        <v>-1004.721788316077</v>
      </c>
      <c r="L102" s="47">
        <v>2576200.6355916299</v>
      </c>
      <c r="M102" s="47">
        <v>7717.7</v>
      </c>
    </row>
    <row r="103" spans="1:13" x14ac:dyDescent="0.2">
      <c r="A103" s="53" t="s">
        <v>332</v>
      </c>
      <c r="B103" s="54" t="s">
        <v>134</v>
      </c>
      <c r="C103" s="54" t="s">
        <v>136</v>
      </c>
      <c r="D103" s="6">
        <v>481.9</v>
      </c>
      <c r="E103" s="6">
        <v>187</v>
      </c>
      <c r="F103" s="47">
        <v>9786.2653828300008</v>
      </c>
      <c r="G103" s="47">
        <v>227489.57</v>
      </c>
      <c r="H103" s="6">
        <v>431</v>
      </c>
      <c r="I103" s="47">
        <v>4943490.8600000003</v>
      </c>
      <c r="J103" s="47">
        <v>-631268.01522435294</v>
      </c>
      <c r="K103" s="47">
        <v>-1681.772835688103</v>
      </c>
      <c r="L103" s="47">
        <v>4312222.8447756469</v>
      </c>
      <c r="M103" s="47">
        <v>7717.7</v>
      </c>
    </row>
    <row r="104" spans="1:13" x14ac:dyDescent="0.2">
      <c r="A104" s="53" t="s">
        <v>333</v>
      </c>
      <c r="B104" s="54" t="s">
        <v>134</v>
      </c>
      <c r="C104" s="54" t="s">
        <v>137</v>
      </c>
      <c r="D104" s="6">
        <v>50</v>
      </c>
      <c r="E104" s="6">
        <v>19</v>
      </c>
      <c r="F104" s="47">
        <v>18123.780888910002</v>
      </c>
      <c r="G104" s="47">
        <v>41322.22</v>
      </c>
      <c r="H104" s="6">
        <v>40</v>
      </c>
      <c r="I104" s="47">
        <v>947511.26</v>
      </c>
      <c r="J104" s="47">
        <v>-120994.16575090539</v>
      </c>
      <c r="K104" s="47">
        <v>-322.34280262765725</v>
      </c>
      <c r="L104" s="47">
        <v>826517.0942490946</v>
      </c>
      <c r="M104" s="47">
        <v>7717.7</v>
      </c>
    </row>
    <row r="105" spans="1:13" x14ac:dyDescent="0.2">
      <c r="A105" s="53" t="s">
        <v>334</v>
      </c>
      <c r="B105" s="54" t="s">
        <v>138</v>
      </c>
      <c r="C105" s="54" t="s">
        <v>139</v>
      </c>
      <c r="D105" s="6">
        <v>2133.6</v>
      </c>
      <c r="E105" s="6">
        <v>809.9</v>
      </c>
      <c r="F105" s="47">
        <v>8566.3788399000005</v>
      </c>
      <c r="G105" s="47">
        <v>849496.78</v>
      </c>
      <c r="H105" s="6">
        <v>1961</v>
      </c>
      <c r="I105" s="47">
        <v>19126722.670000002</v>
      </c>
      <c r="J105" s="47">
        <v>-2442421.4789865189</v>
      </c>
      <c r="K105" s="47">
        <v>-6506.9003934895172</v>
      </c>
      <c r="L105" s="47">
        <v>16684301.191013483</v>
      </c>
      <c r="M105" s="47">
        <v>7717.7</v>
      </c>
    </row>
    <row r="106" spans="1:13" x14ac:dyDescent="0.2">
      <c r="A106" s="53" t="s">
        <v>335</v>
      </c>
      <c r="B106" s="54" t="s">
        <v>138</v>
      </c>
      <c r="C106" s="54" t="s">
        <v>140</v>
      </c>
      <c r="D106" s="6">
        <v>191</v>
      </c>
      <c r="E106" s="6">
        <v>34.4</v>
      </c>
      <c r="F106" s="47">
        <v>14516.64871637</v>
      </c>
      <c r="G106" s="47">
        <v>59924.73</v>
      </c>
      <c r="H106" s="6">
        <v>172</v>
      </c>
      <c r="I106" s="47">
        <v>2832604.63</v>
      </c>
      <c r="J106" s="47">
        <v>-361714.57646741002</v>
      </c>
      <c r="K106" s="47">
        <v>-963.65051658623872</v>
      </c>
      <c r="L106" s="47">
        <v>2470890.0535325897</v>
      </c>
      <c r="M106" s="47">
        <v>7717.7</v>
      </c>
    </row>
    <row r="107" spans="1:13" x14ac:dyDescent="0.2">
      <c r="A107" s="53" t="s">
        <v>336</v>
      </c>
      <c r="B107" s="54" t="s">
        <v>138</v>
      </c>
      <c r="C107" s="54" t="s">
        <v>141</v>
      </c>
      <c r="D107" s="6">
        <v>311</v>
      </c>
      <c r="E107" s="6">
        <v>66</v>
      </c>
      <c r="F107" s="47">
        <v>11838.841500930001</v>
      </c>
      <c r="G107" s="47">
        <v>93763.62</v>
      </c>
      <c r="H107" s="6">
        <v>307</v>
      </c>
      <c r="I107" s="47">
        <v>3775643.33</v>
      </c>
      <c r="J107" s="47">
        <v>-482137.61057184736</v>
      </c>
      <c r="K107" s="47">
        <v>-1284.4717567943419</v>
      </c>
      <c r="L107" s="47">
        <v>3293505.7194281528</v>
      </c>
      <c r="M107" s="47">
        <v>7717.7</v>
      </c>
    </row>
    <row r="108" spans="1:13" x14ac:dyDescent="0.2">
      <c r="A108" s="53" t="s">
        <v>337</v>
      </c>
      <c r="B108" s="54" t="s">
        <v>138</v>
      </c>
      <c r="C108" s="54" t="s">
        <v>142</v>
      </c>
      <c r="D108" s="6">
        <v>154.5</v>
      </c>
      <c r="E108" s="6">
        <v>29.8</v>
      </c>
      <c r="F108" s="47">
        <v>15706.904959990001</v>
      </c>
      <c r="G108" s="47">
        <v>56167.89</v>
      </c>
      <c r="H108" s="6">
        <v>138</v>
      </c>
      <c r="I108" s="47">
        <v>2482884.71</v>
      </c>
      <c r="J108" s="47">
        <v>-317056.45813869132</v>
      </c>
      <c r="K108" s="47">
        <v>-844.67599469240918</v>
      </c>
      <c r="L108" s="47">
        <v>2165828.2518613087</v>
      </c>
      <c r="M108" s="47">
        <v>7717.7</v>
      </c>
    </row>
    <row r="109" spans="1:13" x14ac:dyDescent="0.2">
      <c r="A109" s="53" t="s">
        <v>338</v>
      </c>
      <c r="B109" s="54" t="s">
        <v>143</v>
      </c>
      <c r="C109" s="54" t="s">
        <v>144</v>
      </c>
      <c r="D109" s="6">
        <v>165</v>
      </c>
      <c r="E109" s="6">
        <v>59.9</v>
      </c>
      <c r="F109" s="47">
        <v>15331.104400710001</v>
      </c>
      <c r="G109" s="47">
        <v>110199.98</v>
      </c>
      <c r="H109" s="6">
        <v>159</v>
      </c>
      <c r="I109" s="47">
        <v>2639832.21</v>
      </c>
      <c r="J109" s="47">
        <v>-337098.15329405043</v>
      </c>
      <c r="K109" s="47">
        <v>-898.06944672949021</v>
      </c>
      <c r="L109" s="47">
        <v>2302734.0567059494</v>
      </c>
      <c r="M109" s="47">
        <v>7717.7</v>
      </c>
    </row>
    <row r="110" spans="1:13" x14ac:dyDescent="0.2">
      <c r="A110" s="53" t="s">
        <v>339</v>
      </c>
      <c r="B110" s="54" t="s">
        <v>143</v>
      </c>
      <c r="C110" s="54" t="s">
        <v>145</v>
      </c>
      <c r="D110" s="6">
        <v>408.3</v>
      </c>
      <c r="E110" s="6">
        <v>118.5</v>
      </c>
      <c r="F110" s="47">
        <v>10501.21953756</v>
      </c>
      <c r="G110" s="47">
        <v>149327.34</v>
      </c>
      <c r="H110" s="6">
        <v>346</v>
      </c>
      <c r="I110" s="47">
        <v>4436975.28</v>
      </c>
      <c r="J110" s="47">
        <v>-566587.59122397122</v>
      </c>
      <c r="K110" s="47">
        <v>-1509.4565176405758</v>
      </c>
      <c r="L110" s="47">
        <v>3870387.6887760293</v>
      </c>
      <c r="M110" s="47">
        <v>7717.7</v>
      </c>
    </row>
    <row r="111" spans="1:13" x14ac:dyDescent="0.2">
      <c r="A111" s="53" t="s">
        <v>340</v>
      </c>
      <c r="B111" s="54" t="s">
        <v>143</v>
      </c>
      <c r="C111" s="54" t="s">
        <v>146</v>
      </c>
      <c r="D111" s="6">
        <v>21994.5</v>
      </c>
      <c r="E111" s="6">
        <v>9385.4</v>
      </c>
      <c r="F111" s="47">
        <v>8250.0810950899995</v>
      </c>
      <c r="G111" s="47">
        <v>9702890.6799999997</v>
      </c>
      <c r="H111" s="6">
        <v>21159</v>
      </c>
      <c r="I111" s="47">
        <v>194590035.19999999</v>
      </c>
      <c r="J111" s="47">
        <v>-24848526.836993273</v>
      </c>
      <c r="K111" s="47">
        <v>-63372.258893114595</v>
      </c>
      <c r="L111" s="47">
        <v>169741508.36300671</v>
      </c>
      <c r="M111" s="47">
        <v>7717.7</v>
      </c>
    </row>
    <row r="112" spans="1:13" x14ac:dyDescent="0.2">
      <c r="A112" s="53" t="s">
        <v>341</v>
      </c>
      <c r="B112" s="54" t="s">
        <v>147</v>
      </c>
      <c r="C112" s="54" t="s">
        <v>148</v>
      </c>
      <c r="D112" s="6">
        <v>91</v>
      </c>
      <c r="E112" s="6">
        <v>29</v>
      </c>
      <c r="F112" s="47">
        <v>17826.536257539999</v>
      </c>
      <c r="G112" s="47">
        <v>62036.35</v>
      </c>
      <c r="H112" s="6">
        <v>81</v>
      </c>
      <c r="I112" s="47">
        <v>1674965.61</v>
      </c>
      <c r="J112" s="47">
        <v>-213887.765981173</v>
      </c>
      <c r="K112" s="47">
        <v>-569.82236710553025</v>
      </c>
      <c r="L112" s="47">
        <v>1461077.8440188272</v>
      </c>
      <c r="M112" s="47">
        <v>7717.7</v>
      </c>
    </row>
    <row r="113" spans="1:13" x14ac:dyDescent="0.2">
      <c r="A113" s="53" t="s">
        <v>342</v>
      </c>
      <c r="B113" s="54" t="s">
        <v>149</v>
      </c>
      <c r="C113" s="54" t="s">
        <v>149</v>
      </c>
      <c r="D113" s="6">
        <v>2104.6</v>
      </c>
      <c r="E113" s="6">
        <v>743.6</v>
      </c>
      <c r="F113" s="47">
        <v>8409.3941300000006</v>
      </c>
      <c r="G113" s="47">
        <v>755640.31999999995</v>
      </c>
      <c r="H113" s="6">
        <v>1917</v>
      </c>
      <c r="I113" s="47">
        <v>18620184.07</v>
      </c>
      <c r="J113" s="47">
        <v>-2377738.1154055605</v>
      </c>
      <c r="K113" s="47">
        <v>-6334.5762440508179</v>
      </c>
      <c r="L113" s="47">
        <v>16242445.954594441</v>
      </c>
      <c r="M113" s="47">
        <v>7717.7</v>
      </c>
    </row>
    <row r="114" spans="1:13" x14ac:dyDescent="0.2">
      <c r="A114" s="53" t="s">
        <v>343</v>
      </c>
      <c r="B114" s="54" t="s">
        <v>150</v>
      </c>
      <c r="C114" s="54" t="s">
        <v>150</v>
      </c>
      <c r="D114" s="6">
        <v>2702.2</v>
      </c>
      <c r="E114" s="6">
        <v>1340.2</v>
      </c>
      <c r="F114" s="47">
        <v>8378.1285724400004</v>
      </c>
      <c r="G114" s="47">
        <v>1554430.22</v>
      </c>
      <c r="H114" s="6">
        <v>2498</v>
      </c>
      <c r="I114" s="47">
        <v>24194053.559999999</v>
      </c>
      <c r="J114" s="47">
        <v>-3089503.4710457399</v>
      </c>
      <c r="K114" s="47">
        <v>-8230.8035383706647</v>
      </c>
      <c r="L114" s="47">
        <v>21104550.088954259</v>
      </c>
      <c r="M114" s="47">
        <v>7717.7</v>
      </c>
    </row>
    <row r="115" spans="1:13" x14ac:dyDescent="0.2">
      <c r="A115" s="53" t="s">
        <v>344</v>
      </c>
      <c r="B115" s="54" t="s">
        <v>150</v>
      </c>
      <c r="C115" s="54" t="s">
        <v>69</v>
      </c>
      <c r="D115" s="6">
        <v>671.1</v>
      </c>
      <c r="E115" s="6">
        <v>285.8</v>
      </c>
      <c r="F115" s="47">
        <v>9582.7126404800001</v>
      </c>
      <c r="G115" s="47">
        <v>350965.12</v>
      </c>
      <c r="H115" s="6">
        <v>611</v>
      </c>
      <c r="I115" s="47">
        <v>6780881.8600000003</v>
      </c>
      <c r="J115" s="47">
        <v>-865896.98544178531</v>
      </c>
      <c r="K115" s="47">
        <v>-2306.8522299560232</v>
      </c>
      <c r="L115" s="47">
        <v>5914984.874558215</v>
      </c>
      <c r="M115" s="47">
        <v>7717.7</v>
      </c>
    </row>
    <row r="116" spans="1:13" x14ac:dyDescent="0.2">
      <c r="A116" s="53" t="s">
        <v>345</v>
      </c>
      <c r="B116" s="54" t="s">
        <v>150</v>
      </c>
      <c r="C116" s="54" t="s">
        <v>151</v>
      </c>
      <c r="D116" s="6">
        <v>464.8</v>
      </c>
      <c r="E116" s="6">
        <v>190</v>
      </c>
      <c r="F116" s="47">
        <v>9827.8580501300003</v>
      </c>
      <c r="G116" s="47">
        <v>232272.67</v>
      </c>
      <c r="H116" s="6">
        <v>437</v>
      </c>
      <c r="I116" s="47">
        <v>4798652.8600000003</v>
      </c>
      <c r="J116" s="47">
        <v>-612772.66459492652</v>
      </c>
      <c r="K116" s="47">
        <v>-1632.4990288027004</v>
      </c>
      <c r="L116" s="47">
        <v>4185880.1954050739</v>
      </c>
      <c r="M116" s="47">
        <v>7717.7</v>
      </c>
    </row>
    <row r="117" spans="1:13" x14ac:dyDescent="0.2">
      <c r="A117" s="53" t="s">
        <v>346</v>
      </c>
      <c r="B117" s="54" t="s">
        <v>152</v>
      </c>
      <c r="C117" s="54" t="s">
        <v>152</v>
      </c>
      <c r="D117" s="6">
        <v>5916.8</v>
      </c>
      <c r="E117" s="6">
        <v>2680.9</v>
      </c>
      <c r="F117" s="47">
        <v>8746.6007189600004</v>
      </c>
      <c r="G117" s="47">
        <v>3046212.22</v>
      </c>
      <c r="H117" s="6">
        <v>5572</v>
      </c>
      <c r="I117" s="47">
        <v>54798099.350000001</v>
      </c>
      <c r="J117" s="47">
        <v>-6997542.5047597652</v>
      </c>
      <c r="K117" s="47">
        <v>-18642.282861258875</v>
      </c>
      <c r="L117" s="47">
        <v>47800556.845240235</v>
      </c>
      <c r="M117" s="47">
        <v>7717.7</v>
      </c>
    </row>
    <row r="118" spans="1:13" x14ac:dyDescent="0.2">
      <c r="A118" s="53" t="s">
        <v>347</v>
      </c>
      <c r="B118" s="54" t="s">
        <v>152</v>
      </c>
      <c r="C118" s="54" t="s">
        <v>153</v>
      </c>
      <c r="D118" s="6">
        <v>260.39999999999998</v>
      </c>
      <c r="E118" s="6">
        <v>116.5</v>
      </c>
      <c r="F118" s="47">
        <v>13876.159247600001</v>
      </c>
      <c r="G118" s="47">
        <v>193988.71</v>
      </c>
      <c r="H118" s="6">
        <v>233</v>
      </c>
      <c r="I118" s="47">
        <v>3807340.58</v>
      </c>
      <c r="J118" s="47">
        <v>-486185.24829632975</v>
      </c>
      <c r="K118" s="47">
        <v>-1295.2551435802568</v>
      </c>
      <c r="L118" s="47">
        <v>3321155.3317036703</v>
      </c>
      <c r="M118" s="47">
        <v>7717.7</v>
      </c>
    </row>
    <row r="119" spans="1:13" x14ac:dyDescent="0.2">
      <c r="A119" s="53" t="s">
        <v>348</v>
      </c>
      <c r="B119" s="54" t="s">
        <v>154</v>
      </c>
      <c r="C119" s="54" t="s">
        <v>155</v>
      </c>
      <c r="D119" s="6">
        <v>1446.4</v>
      </c>
      <c r="E119" s="6">
        <v>548.79999999999995</v>
      </c>
      <c r="F119" s="47">
        <v>9036.4323640799994</v>
      </c>
      <c r="G119" s="47">
        <v>621839.56000000006</v>
      </c>
      <c r="H119" s="6">
        <v>1235</v>
      </c>
      <c r="I119" s="47">
        <v>13692135.33</v>
      </c>
      <c r="J119" s="47">
        <v>-1748442.009651524</v>
      </c>
      <c r="K119" s="47">
        <v>-4658.0568089812059</v>
      </c>
      <c r="L119" s="47">
        <v>11943693.320348475</v>
      </c>
      <c r="M119" s="47">
        <v>7717.7</v>
      </c>
    </row>
    <row r="120" spans="1:13" x14ac:dyDescent="0.2">
      <c r="A120" s="53" t="s">
        <v>349</v>
      </c>
      <c r="B120" s="54" t="s">
        <v>154</v>
      </c>
      <c r="C120" s="54" t="s">
        <v>156</v>
      </c>
      <c r="D120" s="6">
        <v>3269.3</v>
      </c>
      <c r="E120" s="6">
        <v>1566.9</v>
      </c>
      <c r="F120" s="47">
        <v>8613.7414461299995</v>
      </c>
      <c r="G120" s="47">
        <v>1792511.67</v>
      </c>
      <c r="H120" s="6">
        <v>3126</v>
      </c>
      <c r="I120" s="47">
        <v>29953416.579999998</v>
      </c>
      <c r="J120" s="47">
        <v>-3824955.7588227894</v>
      </c>
      <c r="K120" s="47">
        <v>-10190.135628225606</v>
      </c>
      <c r="L120" s="47">
        <v>26128460.821177207</v>
      </c>
      <c r="M120" s="47">
        <v>7717.7</v>
      </c>
    </row>
    <row r="121" spans="1:13" x14ac:dyDescent="0.2">
      <c r="A121" s="53" t="s">
        <v>350</v>
      </c>
      <c r="B121" s="54" t="s">
        <v>154</v>
      </c>
      <c r="C121" s="54" t="s">
        <v>157</v>
      </c>
      <c r="D121" s="6">
        <v>205.5</v>
      </c>
      <c r="E121" s="6">
        <v>58</v>
      </c>
      <c r="F121" s="47">
        <v>14644.24126991</v>
      </c>
      <c r="G121" s="47">
        <v>101923.92</v>
      </c>
      <c r="H121" s="6">
        <v>196</v>
      </c>
      <c r="I121" s="47">
        <v>3111315.5</v>
      </c>
      <c r="J121" s="47">
        <v>-397305.06559928489</v>
      </c>
      <c r="K121" s="47">
        <v>-1058.4677992416371</v>
      </c>
      <c r="L121" s="47">
        <v>2714010.4344007149</v>
      </c>
      <c r="M121" s="47">
        <v>7717.7</v>
      </c>
    </row>
    <row r="122" spans="1:13" x14ac:dyDescent="0.2">
      <c r="A122" s="53" t="s">
        <v>351</v>
      </c>
      <c r="B122" s="54" t="s">
        <v>154</v>
      </c>
      <c r="C122" s="54" t="s">
        <v>158</v>
      </c>
      <c r="D122" s="6">
        <v>737</v>
      </c>
      <c r="E122" s="6">
        <v>201</v>
      </c>
      <c r="F122" s="47">
        <v>9560.1481501899998</v>
      </c>
      <c r="G122" s="47">
        <v>230590.77</v>
      </c>
      <c r="H122" s="6">
        <v>689</v>
      </c>
      <c r="I122" s="47">
        <v>7276419.96</v>
      </c>
      <c r="J122" s="47">
        <v>-259.02</v>
      </c>
      <c r="K122" s="47">
        <v>0</v>
      </c>
      <c r="L122" s="47">
        <v>7276160.9400000004</v>
      </c>
      <c r="M122" s="47">
        <v>7717.7</v>
      </c>
    </row>
    <row r="123" spans="1:13" x14ac:dyDescent="0.2">
      <c r="A123" s="53" t="s">
        <v>352</v>
      </c>
      <c r="B123" s="54" t="s">
        <v>159</v>
      </c>
      <c r="C123" s="54" t="s">
        <v>160</v>
      </c>
      <c r="D123" s="6">
        <v>1461.8</v>
      </c>
      <c r="E123" s="6">
        <v>990.6</v>
      </c>
      <c r="F123" s="47">
        <v>8737.5466827</v>
      </c>
      <c r="G123" s="47">
        <v>1519861.29</v>
      </c>
      <c r="H123" s="6">
        <v>1375</v>
      </c>
      <c r="I123" s="47">
        <v>14292407.029999999</v>
      </c>
      <c r="J123" s="47">
        <v>-1825094.791134435</v>
      </c>
      <c r="K123" s="47">
        <v>-4862.2689068047912</v>
      </c>
      <c r="L123" s="47">
        <v>12467312.238865564</v>
      </c>
      <c r="M123" s="47">
        <v>7717.7</v>
      </c>
    </row>
    <row r="124" spans="1:13" x14ac:dyDescent="0.2">
      <c r="A124" s="53" t="s">
        <v>353</v>
      </c>
      <c r="B124" s="54" t="s">
        <v>159</v>
      </c>
      <c r="C124" s="54" t="s">
        <v>161</v>
      </c>
      <c r="D124" s="6">
        <v>809.1</v>
      </c>
      <c r="E124" s="6">
        <v>507.4</v>
      </c>
      <c r="F124" s="47">
        <v>9180.9938408100006</v>
      </c>
      <c r="G124" s="47">
        <v>805655.35</v>
      </c>
      <c r="H124" s="6">
        <v>716</v>
      </c>
      <c r="I124" s="47">
        <v>8233997.4699999997</v>
      </c>
      <c r="J124" s="47">
        <v>-1051455.2140285019</v>
      </c>
      <c r="K124" s="47">
        <v>-2801.2013506930134</v>
      </c>
      <c r="L124" s="47">
        <v>7182542.2559714979</v>
      </c>
      <c r="M124" s="47">
        <v>7717.7</v>
      </c>
    </row>
    <row r="125" spans="1:13" x14ac:dyDescent="0.2">
      <c r="A125" s="53" t="s">
        <v>354</v>
      </c>
      <c r="B125" s="54" t="s">
        <v>159</v>
      </c>
      <c r="C125" s="54" t="s">
        <v>162</v>
      </c>
      <c r="D125" s="6">
        <v>166</v>
      </c>
      <c r="E125" s="6">
        <v>116</v>
      </c>
      <c r="F125" s="47">
        <v>15358.189590550001</v>
      </c>
      <c r="G125" s="47">
        <v>213786</v>
      </c>
      <c r="H125" s="6">
        <v>164</v>
      </c>
      <c r="I125" s="47">
        <v>2763245.47</v>
      </c>
      <c r="J125" s="47">
        <v>-352857.6329611307</v>
      </c>
      <c r="K125" s="47">
        <v>-940.05456900636523</v>
      </c>
      <c r="L125" s="47">
        <v>2410387.8370388695</v>
      </c>
      <c r="M125" s="47">
        <v>7717.7</v>
      </c>
    </row>
    <row r="126" spans="1:13" x14ac:dyDescent="0.2">
      <c r="A126" s="53" t="s">
        <v>355</v>
      </c>
      <c r="B126" s="54" t="s">
        <v>159</v>
      </c>
      <c r="C126" s="54" t="s">
        <v>163</v>
      </c>
      <c r="D126" s="6">
        <v>388.4</v>
      </c>
      <c r="E126" s="6">
        <v>182.4</v>
      </c>
      <c r="F126" s="47">
        <v>10590.807133640001</v>
      </c>
      <c r="G126" s="47">
        <v>231811.59</v>
      </c>
      <c r="H126" s="6">
        <v>368</v>
      </c>
      <c r="I126" s="47">
        <v>4345281.08</v>
      </c>
      <c r="J126" s="47">
        <v>-554878.53434880893</v>
      </c>
      <c r="K126" s="47">
        <v>-1478.2622018994616</v>
      </c>
      <c r="L126" s="47">
        <v>3790402.5456511909</v>
      </c>
      <c r="M126" s="47">
        <v>7717.7</v>
      </c>
    </row>
    <row r="127" spans="1:13" x14ac:dyDescent="0.2">
      <c r="A127" s="53" t="s">
        <v>356</v>
      </c>
      <c r="B127" s="54" t="s">
        <v>159</v>
      </c>
      <c r="C127" s="54" t="s">
        <v>164</v>
      </c>
      <c r="D127" s="6">
        <v>221.7</v>
      </c>
      <c r="E127" s="6">
        <v>64</v>
      </c>
      <c r="F127" s="47">
        <v>13621.6240655</v>
      </c>
      <c r="G127" s="47">
        <v>104614.07</v>
      </c>
      <c r="H127" s="6">
        <v>205</v>
      </c>
      <c r="I127" s="47">
        <v>3124528.13</v>
      </c>
      <c r="J127" s="47">
        <v>-398992.27630770998</v>
      </c>
      <c r="K127" s="47">
        <v>-1062.9627286045686</v>
      </c>
      <c r="L127" s="47">
        <v>2725535.8536922899</v>
      </c>
      <c r="M127" s="47">
        <v>7717.7</v>
      </c>
    </row>
    <row r="128" spans="1:13" x14ac:dyDescent="0.2">
      <c r="A128" s="53" t="s">
        <v>357</v>
      </c>
      <c r="B128" s="54" t="s">
        <v>159</v>
      </c>
      <c r="C128" s="54" t="s">
        <v>165</v>
      </c>
      <c r="D128" s="6">
        <v>342.7</v>
      </c>
      <c r="E128" s="6">
        <v>128.69999999999999</v>
      </c>
      <c r="F128" s="47">
        <v>11252.21720125</v>
      </c>
      <c r="G128" s="47">
        <v>173779.24</v>
      </c>
      <c r="H128" s="6">
        <v>312</v>
      </c>
      <c r="I128" s="47">
        <v>4029914.07</v>
      </c>
      <c r="J128" s="47">
        <v>-514607.1730561658</v>
      </c>
      <c r="K128" s="47">
        <v>-1370.9745208436138</v>
      </c>
      <c r="L128" s="47">
        <v>3515306.8969438341</v>
      </c>
      <c r="M128" s="47">
        <v>7717.7</v>
      </c>
    </row>
    <row r="129" spans="1:13" x14ac:dyDescent="0.2">
      <c r="A129" s="53" t="s">
        <v>358</v>
      </c>
      <c r="B129" s="54" t="s">
        <v>166</v>
      </c>
      <c r="C129" s="54" t="s">
        <v>166</v>
      </c>
      <c r="D129" s="6">
        <v>177.5</v>
      </c>
      <c r="E129" s="6">
        <v>53.6</v>
      </c>
      <c r="F129" s="47">
        <v>16949.088823810001</v>
      </c>
      <c r="G129" s="47">
        <v>109016.54</v>
      </c>
      <c r="H129" s="6">
        <v>172</v>
      </c>
      <c r="I129" s="47">
        <v>3117479.81</v>
      </c>
      <c r="J129" s="47">
        <v>-398092.22832480224</v>
      </c>
      <c r="K129" s="47">
        <v>-1060.5648940684214</v>
      </c>
      <c r="L129" s="47">
        <v>2719387.5816751979</v>
      </c>
      <c r="M129" s="47">
        <v>7717.7</v>
      </c>
    </row>
    <row r="130" spans="1:13" x14ac:dyDescent="0.2">
      <c r="A130" s="53" t="s">
        <v>359</v>
      </c>
      <c r="B130" s="54" t="s">
        <v>166</v>
      </c>
      <c r="C130" s="54" t="s">
        <v>167</v>
      </c>
      <c r="D130" s="6">
        <v>333.5</v>
      </c>
      <c r="E130" s="6">
        <v>48</v>
      </c>
      <c r="F130" s="47">
        <v>12656.731408649999</v>
      </c>
      <c r="G130" s="47">
        <v>72902.77</v>
      </c>
      <c r="H130" s="6">
        <v>314</v>
      </c>
      <c r="I130" s="47">
        <v>4293922.6900000004</v>
      </c>
      <c r="J130" s="47">
        <v>-548320.23175685911</v>
      </c>
      <c r="K130" s="47">
        <v>-1460.7901062422088</v>
      </c>
      <c r="L130" s="47">
        <v>3745602.4582431414</v>
      </c>
      <c r="M130" s="47">
        <v>7717.7</v>
      </c>
    </row>
    <row r="131" spans="1:13" x14ac:dyDescent="0.2">
      <c r="A131" s="53" t="s">
        <v>360</v>
      </c>
      <c r="B131" s="54" t="s">
        <v>168</v>
      </c>
      <c r="C131" s="54" t="s">
        <v>169</v>
      </c>
      <c r="D131" s="6">
        <v>835.2</v>
      </c>
      <c r="E131" s="6">
        <v>148</v>
      </c>
      <c r="F131" s="47">
        <v>9855.0821708799995</v>
      </c>
      <c r="G131" s="47">
        <v>175026.26</v>
      </c>
      <c r="H131" s="6">
        <v>724</v>
      </c>
      <c r="I131" s="47">
        <v>8404676.8100000005</v>
      </c>
      <c r="J131" s="47">
        <v>-1073250.421353231</v>
      </c>
      <c r="K131" s="47">
        <v>-2859.2663670456832</v>
      </c>
      <c r="L131" s="47">
        <v>7331426.3886467693</v>
      </c>
      <c r="M131" s="47">
        <v>7717.7</v>
      </c>
    </row>
    <row r="132" spans="1:13" x14ac:dyDescent="0.2">
      <c r="A132" s="53" t="s">
        <v>361</v>
      </c>
      <c r="B132" s="54" t="s">
        <v>168</v>
      </c>
      <c r="C132" s="54" t="s">
        <v>168</v>
      </c>
      <c r="D132" s="6">
        <v>633.4</v>
      </c>
      <c r="E132" s="6">
        <v>181.4</v>
      </c>
      <c r="F132" s="47">
        <v>10025.68633676</v>
      </c>
      <c r="G132" s="47">
        <v>218239.14</v>
      </c>
      <c r="H132" s="6">
        <v>559</v>
      </c>
      <c r="I132" s="47">
        <v>6568508.8700000001</v>
      </c>
      <c r="J132" s="47">
        <v>-838777.6319967662</v>
      </c>
      <c r="K132" s="47">
        <v>-2234.6030571081824</v>
      </c>
      <c r="L132" s="47">
        <v>5729731.2380032334</v>
      </c>
      <c r="M132" s="47">
        <v>7717.7</v>
      </c>
    </row>
    <row r="133" spans="1:13" x14ac:dyDescent="0.2">
      <c r="A133" s="53" t="s">
        <v>362</v>
      </c>
      <c r="B133" s="54" t="s">
        <v>170</v>
      </c>
      <c r="C133" s="54" t="s">
        <v>171</v>
      </c>
      <c r="D133" s="6">
        <v>607</v>
      </c>
      <c r="E133" s="6">
        <v>285.60000000000002</v>
      </c>
      <c r="F133" s="47">
        <v>9394.77062836</v>
      </c>
      <c r="G133" s="47">
        <v>351549.12</v>
      </c>
      <c r="H133" s="6">
        <v>584</v>
      </c>
      <c r="I133" s="47">
        <v>6054174.8899999997</v>
      </c>
      <c r="J133" s="47">
        <v>-773098.82325369876</v>
      </c>
      <c r="K133" s="47">
        <v>-2059.6269237376537</v>
      </c>
      <c r="L133" s="47">
        <v>5281076.066746301</v>
      </c>
      <c r="M133" s="47">
        <v>7717.7</v>
      </c>
    </row>
    <row r="134" spans="1:13" x14ac:dyDescent="0.2">
      <c r="A134" s="53" t="s">
        <v>363</v>
      </c>
      <c r="B134" s="54" t="s">
        <v>170</v>
      </c>
      <c r="C134" s="54" t="s">
        <v>172</v>
      </c>
      <c r="D134" s="6">
        <v>320.39999999999998</v>
      </c>
      <c r="E134" s="6">
        <v>80.900000000000006</v>
      </c>
      <c r="F134" s="47">
        <v>11059.58794512</v>
      </c>
      <c r="G134" s="47">
        <v>107366.48</v>
      </c>
      <c r="H134" s="6">
        <v>293</v>
      </c>
      <c r="I134" s="47">
        <v>3650858.46</v>
      </c>
      <c r="J134" s="47">
        <v>-466202.98068260972</v>
      </c>
      <c r="K134" s="47">
        <v>-1242.0200135598311</v>
      </c>
      <c r="L134" s="47">
        <v>3184655.4793173904</v>
      </c>
      <c r="M134" s="47">
        <v>7717.7</v>
      </c>
    </row>
    <row r="135" spans="1:13" x14ac:dyDescent="0.2">
      <c r="A135" s="53" t="s">
        <v>364</v>
      </c>
      <c r="B135" s="54" t="s">
        <v>173</v>
      </c>
      <c r="C135" s="54" t="s">
        <v>174</v>
      </c>
      <c r="D135" s="6">
        <v>1659.4</v>
      </c>
      <c r="E135" s="6">
        <v>43.1</v>
      </c>
      <c r="F135" s="47">
        <v>12008.03592769</v>
      </c>
      <c r="G135" s="47">
        <v>62105.56</v>
      </c>
      <c r="H135" s="6">
        <v>1576</v>
      </c>
      <c r="I135" s="47">
        <v>19988240.379999999</v>
      </c>
      <c r="J135" s="47">
        <v>-2552434.5426846538</v>
      </c>
      <c r="K135" s="47">
        <v>-6799.9882383292279</v>
      </c>
      <c r="L135" s="47">
        <v>17435805.837315343</v>
      </c>
      <c r="M135" s="47">
        <v>7717.7</v>
      </c>
    </row>
    <row r="136" spans="1:13" x14ac:dyDescent="0.2">
      <c r="A136" s="53" t="s">
        <v>365</v>
      </c>
      <c r="B136" s="54" t="s">
        <v>175</v>
      </c>
      <c r="C136" s="54" t="s">
        <v>176</v>
      </c>
      <c r="D136" s="6">
        <v>189.3</v>
      </c>
      <c r="E136" s="6">
        <v>93.7</v>
      </c>
      <c r="F136" s="47">
        <v>14051.987494180001</v>
      </c>
      <c r="G136" s="47">
        <v>158000.54999999999</v>
      </c>
      <c r="H136" s="6">
        <v>172</v>
      </c>
      <c r="I136" s="47">
        <v>2818041.78</v>
      </c>
      <c r="J136" s="47">
        <v>-359854.94697160268</v>
      </c>
      <c r="K136" s="47">
        <v>-958.69624313175109</v>
      </c>
      <c r="L136" s="47">
        <v>2458186.8330283971</v>
      </c>
      <c r="M136" s="47">
        <v>7717.7</v>
      </c>
    </row>
    <row r="137" spans="1:13" x14ac:dyDescent="0.2">
      <c r="A137" s="53" t="s">
        <v>366</v>
      </c>
      <c r="B137" s="54" t="s">
        <v>175</v>
      </c>
      <c r="C137" s="54" t="s">
        <v>177</v>
      </c>
      <c r="D137" s="6">
        <v>1517.1</v>
      </c>
      <c r="E137" s="6">
        <v>838.3</v>
      </c>
      <c r="F137" s="47">
        <v>8642.3702566699994</v>
      </c>
      <c r="G137" s="47">
        <v>1072296.8999999999</v>
      </c>
      <c r="H137" s="6">
        <v>1422</v>
      </c>
      <c r="I137" s="47">
        <v>14183383.390000001</v>
      </c>
      <c r="J137" s="47">
        <v>-1811172.820044691</v>
      </c>
      <c r="K137" s="47">
        <v>-4825.1791252329413</v>
      </c>
      <c r="L137" s="47">
        <v>12372210.56995531</v>
      </c>
      <c r="M137" s="47">
        <v>7717.7</v>
      </c>
    </row>
    <row r="138" spans="1:13" x14ac:dyDescent="0.2">
      <c r="A138" s="53" t="s">
        <v>367</v>
      </c>
      <c r="B138" s="54" t="s">
        <v>175</v>
      </c>
      <c r="C138" s="54" t="s">
        <v>178</v>
      </c>
      <c r="D138" s="6">
        <v>287.89999999999998</v>
      </c>
      <c r="E138" s="6">
        <v>125</v>
      </c>
      <c r="F138" s="47">
        <v>11185.9325125</v>
      </c>
      <c r="G138" s="47">
        <v>167788.99</v>
      </c>
      <c r="H138" s="6">
        <v>256</v>
      </c>
      <c r="I138" s="47">
        <v>3388218.96</v>
      </c>
      <c r="J138" s="47">
        <v>-432664.75423901586</v>
      </c>
      <c r="K138" s="47">
        <v>-1152.6702020222599</v>
      </c>
      <c r="L138" s="47">
        <v>2955554.2057609842</v>
      </c>
      <c r="M138" s="47">
        <v>7717.7</v>
      </c>
    </row>
    <row r="139" spans="1:13" x14ac:dyDescent="0.2">
      <c r="A139" s="53" t="s">
        <v>368</v>
      </c>
      <c r="B139" s="54" t="s">
        <v>175</v>
      </c>
      <c r="C139" s="54" t="s">
        <v>179</v>
      </c>
      <c r="D139" s="6">
        <v>255.5</v>
      </c>
      <c r="E139" s="6">
        <v>81.099999999999994</v>
      </c>
      <c r="F139" s="47">
        <v>12176.92840877</v>
      </c>
      <c r="G139" s="47">
        <v>118505.87</v>
      </c>
      <c r="H139" s="6">
        <v>248</v>
      </c>
      <c r="I139" s="47">
        <v>3226075.15</v>
      </c>
      <c r="J139" s="47">
        <v>-411959.50687063811</v>
      </c>
      <c r="K139" s="47">
        <v>-1097.5089682189525</v>
      </c>
      <c r="L139" s="47">
        <v>2814115.6431293618</v>
      </c>
      <c r="M139" s="47">
        <v>7717.7</v>
      </c>
    </row>
    <row r="140" spans="1:13" x14ac:dyDescent="0.2">
      <c r="A140" s="53" t="s">
        <v>369</v>
      </c>
      <c r="B140" s="54" t="s">
        <v>180</v>
      </c>
      <c r="C140" s="54" t="s">
        <v>181</v>
      </c>
      <c r="D140" s="6">
        <v>16134.3</v>
      </c>
      <c r="E140" s="6">
        <v>10985.3</v>
      </c>
      <c r="F140" s="47">
        <v>8439.7336715300007</v>
      </c>
      <c r="G140" s="47">
        <v>17011417.100000001</v>
      </c>
      <c r="H140" s="6">
        <v>14560</v>
      </c>
      <c r="I140" s="47">
        <v>153180713.34</v>
      </c>
      <c r="J140" s="47">
        <v>-19560688.513297334</v>
      </c>
      <c r="K140" s="47">
        <v>-52111.993314485109</v>
      </c>
      <c r="L140" s="47">
        <v>133620024.82670267</v>
      </c>
      <c r="M140" s="47">
        <v>7717.7</v>
      </c>
    </row>
    <row r="141" spans="1:13" x14ac:dyDescent="0.2">
      <c r="A141" s="53" t="s">
        <v>370</v>
      </c>
      <c r="B141" s="54" t="s">
        <v>180</v>
      </c>
      <c r="C141" s="54" t="s">
        <v>182</v>
      </c>
      <c r="D141" s="6">
        <v>10164.9</v>
      </c>
      <c r="E141" s="6">
        <v>3787.6</v>
      </c>
      <c r="F141" s="47">
        <v>8355.1554437800005</v>
      </c>
      <c r="G141" s="47">
        <v>3812004.25</v>
      </c>
      <c r="H141" s="6">
        <v>9991</v>
      </c>
      <c r="I141" s="47">
        <v>89860437.989999995</v>
      </c>
      <c r="J141" s="47">
        <v>-11474891.315392932</v>
      </c>
      <c r="K141" s="47">
        <v>-30570.470927221912</v>
      </c>
      <c r="L141" s="47">
        <v>78385546.674607068</v>
      </c>
      <c r="M141" s="47">
        <v>7717.7</v>
      </c>
    </row>
    <row r="142" spans="1:13" x14ac:dyDescent="0.2">
      <c r="A142" s="53" t="s">
        <v>371</v>
      </c>
      <c r="B142" s="54" t="s">
        <v>183</v>
      </c>
      <c r="C142" s="54" t="s">
        <v>184</v>
      </c>
      <c r="D142" s="6">
        <v>702</v>
      </c>
      <c r="E142" s="6">
        <v>189.1</v>
      </c>
      <c r="F142" s="47">
        <v>9308.4071812799993</v>
      </c>
      <c r="G142" s="47">
        <v>211226.38</v>
      </c>
      <c r="H142" s="6">
        <v>645</v>
      </c>
      <c r="I142" s="47">
        <v>6745728.2199999997</v>
      </c>
      <c r="J142" s="47">
        <v>-861407.97773869196</v>
      </c>
      <c r="K142" s="47">
        <v>-2294.8929812182678</v>
      </c>
      <c r="L142" s="47">
        <v>5884320.2422613073</v>
      </c>
      <c r="M142" s="47">
        <v>7717.7</v>
      </c>
    </row>
    <row r="143" spans="1:13" x14ac:dyDescent="0.2">
      <c r="A143" s="53" t="s">
        <v>372</v>
      </c>
      <c r="B143" s="54" t="s">
        <v>183</v>
      </c>
      <c r="C143" s="54" t="s">
        <v>185</v>
      </c>
      <c r="D143" s="6">
        <v>484.8</v>
      </c>
      <c r="E143" s="6">
        <v>160.30000000000001</v>
      </c>
      <c r="F143" s="47">
        <v>9493.0467251699993</v>
      </c>
      <c r="G143" s="47">
        <v>182608.25</v>
      </c>
      <c r="H143" s="6">
        <v>456</v>
      </c>
      <c r="I143" s="47">
        <v>4784837.3</v>
      </c>
      <c r="J143" s="47">
        <v>-611008.46164858725</v>
      </c>
      <c r="K143" s="47">
        <v>-1627.7989829897665</v>
      </c>
      <c r="L143" s="47">
        <v>4173828.8383514127</v>
      </c>
      <c r="M143" s="47">
        <v>7717.7</v>
      </c>
    </row>
    <row r="144" spans="1:13" x14ac:dyDescent="0.2">
      <c r="A144" s="53" t="s">
        <v>373</v>
      </c>
      <c r="B144" s="54" t="s">
        <v>186</v>
      </c>
      <c r="C144" s="54" t="s">
        <v>187</v>
      </c>
      <c r="D144" s="6">
        <v>434.9</v>
      </c>
      <c r="E144" s="6">
        <v>169.6</v>
      </c>
      <c r="F144" s="47">
        <v>9970.4934933700006</v>
      </c>
      <c r="G144" s="47">
        <v>202919.48</v>
      </c>
      <c r="H144" s="6">
        <v>382</v>
      </c>
      <c r="I144" s="47">
        <v>4539087.0999999996</v>
      </c>
      <c r="J144" s="47">
        <v>-579626.94494543143</v>
      </c>
      <c r="K144" s="47">
        <v>-1544.1949019002107</v>
      </c>
      <c r="L144" s="47">
        <v>3959460.1550545683</v>
      </c>
      <c r="M144" s="47">
        <v>7717.7</v>
      </c>
    </row>
    <row r="145" spans="1:13" x14ac:dyDescent="0.2">
      <c r="A145" s="53" t="s">
        <v>374</v>
      </c>
      <c r="B145" s="54" t="s">
        <v>186</v>
      </c>
      <c r="C145" s="54" t="s">
        <v>188</v>
      </c>
      <c r="D145" s="6">
        <v>1144</v>
      </c>
      <c r="E145" s="6">
        <v>690.3</v>
      </c>
      <c r="F145" s="47">
        <v>8722.0514683000001</v>
      </c>
      <c r="G145" s="47">
        <v>920626.84</v>
      </c>
      <c r="H145" s="6">
        <v>1123</v>
      </c>
      <c r="I145" s="47">
        <v>10877470.699999999</v>
      </c>
      <c r="J145" s="47">
        <v>-1389018.3139632733</v>
      </c>
      <c r="K145" s="47">
        <v>-3700.5094703974537</v>
      </c>
      <c r="L145" s="47">
        <v>9488452.3860367257</v>
      </c>
      <c r="M145" s="47">
        <v>7717.7</v>
      </c>
    </row>
    <row r="146" spans="1:13" x14ac:dyDescent="0.2">
      <c r="A146" s="53" t="s">
        <v>375</v>
      </c>
      <c r="B146" s="54" t="s">
        <v>186</v>
      </c>
      <c r="C146" s="54" t="s">
        <v>189</v>
      </c>
      <c r="D146" s="6">
        <v>370.5</v>
      </c>
      <c r="E146" s="6">
        <v>127.8</v>
      </c>
      <c r="F146" s="47">
        <v>10735.789426040001</v>
      </c>
      <c r="G146" s="47">
        <v>164644.07</v>
      </c>
      <c r="H146" s="6">
        <v>330</v>
      </c>
      <c r="I146" s="47">
        <v>4142254.05</v>
      </c>
      <c r="J146" s="47">
        <v>-528952.6301862197</v>
      </c>
      <c r="K146" s="47">
        <v>-1409.192519435351</v>
      </c>
      <c r="L146" s="47">
        <v>3613301.4198137801</v>
      </c>
      <c r="M146" s="47">
        <v>7717.7</v>
      </c>
    </row>
    <row r="147" spans="1:13" x14ac:dyDescent="0.2">
      <c r="A147" s="53" t="s">
        <v>376</v>
      </c>
      <c r="B147" s="54" t="s">
        <v>190</v>
      </c>
      <c r="C147" s="54" t="s">
        <v>191</v>
      </c>
      <c r="D147" s="6">
        <v>394.5</v>
      </c>
      <c r="E147" s="6">
        <v>75.2</v>
      </c>
      <c r="F147" s="47">
        <v>11483.14139488</v>
      </c>
      <c r="G147" s="47">
        <v>103623.87</v>
      </c>
      <c r="H147" s="6">
        <v>355</v>
      </c>
      <c r="I147" s="47">
        <v>4633723.1500000004</v>
      </c>
      <c r="J147" s="47">
        <v>-591711.66668236477</v>
      </c>
      <c r="K147" s="47">
        <v>-1576.3900333719055</v>
      </c>
      <c r="L147" s="47">
        <v>4042011.4833176355</v>
      </c>
      <c r="M147" s="47">
        <v>7717.7</v>
      </c>
    </row>
    <row r="148" spans="1:13" x14ac:dyDescent="0.2">
      <c r="A148" s="53" t="s">
        <v>377</v>
      </c>
      <c r="B148" s="54" t="s">
        <v>190</v>
      </c>
      <c r="C148" s="54" t="s">
        <v>192</v>
      </c>
      <c r="D148" s="6">
        <v>2774.5</v>
      </c>
      <c r="E148" s="6">
        <v>371.8</v>
      </c>
      <c r="F148" s="47">
        <v>9147.0520597600007</v>
      </c>
      <c r="G148" s="47">
        <v>408104.87</v>
      </c>
      <c r="H148" s="6">
        <v>2663</v>
      </c>
      <c r="I148" s="47">
        <v>25786600.809999999</v>
      </c>
      <c r="J148" s="47">
        <v>-3292866.6753338329</v>
      </c>
      <c r="K148" s="47">
        <v>-8345.7358496964098</v>
      </c>
      <c r="L148" s="47">
        <v>22493734.134666167</v>
      </c>
      <c r="M148" s="47">
        <v>7717.7</v>
      </c>
    </row>
    <row r="149" spans="1:13" x14ac:dyDescent="0.2">
      <c r="A149" s="53" t="s">
        <v>378</v>
      </c>
      <c r="B149" s="54" t="s">
        <v>190</v>
      </c>
      <c r="C149" s="54" t="s">
        <v>193</v>
      </c>
      <c r="D149" s="6">
        <v>315.3</v>
      </c>
      <c r="E149" s="6">
        <v>65.099999999999994</v>
      </c>
      <c r="F149" s="47">
        <v>12594.72652301</v>
      </c>
      <c r="G149" s="47">
        <v>98390</v>
      </c>
      <c r="H149" s="6">
        <v>279</v>
      </c>
      <c r="I149" s="47">
        <v>4065453.55</v>
      </c>
      <c r="J149" s="47">
        <v>-519145.45129659644</v>
      </c>
      <c r="K149" s="47">
        <v>-1383.0650321343498</v>
      </c>
      <c r="L149" s="47">
        <v>3546308.0987034035</v>
      </c>
      <c r="M149" s="47">
        <v>7717.7</v>
      </c>
    </row>
    <row r="150" spans="1:13" x14ac:dyDescent="0.2">
      <c r="A150" s="53" t="s">
        <v>379</v>
      </c>
      <c r="B150" s="54" t="s">
        <v>194</v>
      </c>
      <c r="C150" s="54" t="s">
        <v>195</v>
      </c>
      <c r="D150" s="6">
        <v>152.30000000000001</v>
      </c>
      <c r="E150" s="6">
        <v>85</v>
      </c>
      <c r="F150" s="47">
        <v>15174.91712984</v>
      </c>
      <c r="G150" s="47">
        <v>154784.15</v>
      </c>
      <c r="H150" s="6">
        <v>156</v>
      </c>
      <c r="I150" s="47">
        <v>2465924.0299999998</v>
      </c>
      <c r="J150" s="47">
        <v>-314890.6333999245</v>
      </c>
      <c r="K150" s="47">
        <v>-838.9059808081721</v>
      </c>
      <c r="L150" s="47">
        <v>2151033.3966000751</v>
      </c>
      <c r="M150" s="47">
        <v>7717.7</v>
      </c>
    </row>
    <row r="151" spans="1:13" x14ac:dyDescent="0.2">
      <c r="A151" s="53" t="s">
        <v>380</v>
      </c>
      <c r="B151" s="54" t="s">
        <v>194</v>
      </c>
      <c r="C151" s="54" t="s">
        <v>149</v>
      </c>
      <c r="D151" s="6">
        <v>224</v>
      </c>
      <c r="E151" s="6">
        <v>129</v>
      </c>
      <c r="F151" s="47">
        <v>14982.8932143</v>
      </c>
      <c r="G151" s="47">
        <v>231935.19</v>
      </c>
      <c r="H151" s="6">
        <v>220</v>
      </c>
      <c r="I151" s="47">
        <v>3588103.27</v>
      </c>
      <c r="J151" s="47">
        <v>-458189.34308152244</v>
      </c>
      <c r="K151" s="47">
        <v>-1220.67073289373</v>
      </c>
      <c r="L151" s="47">
        <v>3129913.9269184778</v>
      </c>
      <c r="M151" s="47">
        <v>7717.7</v>
      </c>
    </row>
    <row r="152" spans="1:13" x14ac:dyDescent="0.2">
      <c r="A152" s="53" t="s">
        <v>381</v>
      </c>
      <c r="B152" s="54" t="s">
        <v>194</v>
      </c>
      <c r="C152" s="54" t="s">
        <v>196</v>
      </c>
      <c r="D152" s="6">
        <v>624</v>
      </c>
      <c r="E152" s="6">
        <v>492.8</v>
      </c>
      <c r="F152" s="47">
        <v>9183.9631555399992</v>
      </c>
      <c r="G152" s="47">
        <v>970296.72</v>
      </c>
      <c r="H152" s="6">
        <v>559</v>
      </c>
      <c r="I152" s="47">
        <v>6651736.1100000003</v>
      </c>
      <c r="J152" s="47">
        <v>-849405.48508586874</v>
      </c>
      <c r="K152" s="47">
        <v>-2262.9169177757221</v>
      </c>
      <c r="L152" s="47">
        <v>5802330.6249141321</v>
      </c>
      <c r="M152" s="47">
        <v>7717.7</v>
      </c>
    </row>
    <row r="153" spans="1:13" x14ac:dyDescent="0.2">
      <c r="A153" s="53" t="s">
        <v>382</v>
      </c>
      <c r="B153" s="54" t="s">
        <v>197</v>
      </c>
      <c r="C153" s="54" t="s">
        <v>198</v>
      </c>
      <c r="D153" s="6">
        <v>83</v>
      </c>
      <c r="E153" s="6">
        <v>39.799999999999997</v>
      </c>
      <c r="F153" s="47">
        <v>18399.932442490001</v>
      </c>
      <c r="G153" s="47">
        <v>87878.080000000002</v>
      </c>
      <c r="H153" s="6">
        <v>75</v>
      </c>
      <c r="I153" s="47">
        <v>1605213.54</v>
      </c>
      <c r="J153" s="47">
        <v>-204980.6491211066</v>
      </c>
      <c r="K153" s="47">
        <v>-546.09275176261542</v>
      </c>
      <c r="L153" s="47">
        <v>1400232.8908788934</v>
      </c>
      <c r="M153" s="47">
        <v>7717.7</v>
      </c>
    </row>
    <row r="154" spans="1:13" x14ac:dyDescent="0.2">
      <c r="A154" s="53" t="s">
        <v>383</v>
      </c>
      <c r="B154" s="54" t="s">
        <v>199</v>
      </c>
      <c r="C154" s="54" t="s">
        <v>200</v>
      </c>
      <c r="D154" s="6">
        <v>907.8</v>
      </c>
      <c r="E154" s="6">
        <v>122.9</v>
      </c>
      <c r="F154" s="47">
        <v>12164.522460960001</v>
      </c>
      <c r="G154" s="47">
        <v>179402.38</v>
      </c>
      <c r="H154" s="6">
        <v>867</v>
      </c>
      <c r="I154" s="47">
        <v>11222355.869999999</v>
      </c>
      <c r="J154" s="47">
        <v>-1433059.0501377534</v>
      </c>
      <c r="K154" s="47">
        <v>-3817.8392130355692</v>
      </c>
      <c r="L154" s="47">
        <v>9789296.8198622465</v>
      </c>
      <c r="M154" s="47">
        <v>7717.7</v>
      </c>
    </row>
    <row r="155" spans="1:13" x14ac:dyDescent="0.2">
      <c r="A155" s="53" t="s">
        <v>384</v>
      </c>
      <c r="B155" s="54" t="s">
        <v>199</v>
      </c>
      <c r="C155" s="54" t="s">
        <v>201</v>
      </c>
      <c r="D155" s="6">
        <v>201.6</v>
      </c>
      <c r="E155" s="6">
        <v>38.1</v>
      </c>
      <c r="F155" s="47">
        <v>15348.228721879999</v>
      </c>
      <c r="G155" s="47">
        <v>70172.100000000006</v>
      </c>
      <c r="H155" s="6">
        <v>162</v>
      </c>
      <c r="I155" s="47">
        <v>3164375.01</v>
      </c>
      <c r="J155" s="47">
        <v>-404080.59578939766</v>
      </c>
      <c r="K155" s="47">
        <v>-1076.5186149748984</v>
      </c>
      <c r="L155" s="47">
        <v>2760294.4142106022</v>
      </c>
      <c r="M155" s="47">
        <v>7717.7</v>
      </c>
    </row>
    <row r="156" spans="1:13" x14ac:dyDescent="0.2">
      <c r="A156" s="53" t="s">
        <v>385</v>
      </c>
      <c r="B156" s="54" t="s">
        <v>202</v>
      </c>
      <c r="C156" s="54" t="s">
        <v>203</v>
      </c>
      <c r="D156" s="6">
        <v>1032.2</v>
      </c>
      <c r="E156" s="6">
        <v>436</v>
      </c>
      <c r="F156" s="47">
        <v>8718.6977348399996</v>
      </c>
      <c r="G156" s="47">
        <v>473323.27</v>
      </c>
      <c r="H156" s="6">
        <v>1000</v>
      </c>
      <c r="I156" s="47">
        <v>9334691.9299999997</v>
      </c>
      <c r="J156" s="47">
        <v>-1192010.3858312552</v>
      </c>
      <c r="K156" s="47">
        <v>-3175.6569925955018</v>
      </c>
      <c r="L156" s="47">
        <v>8142681.5441687442</v>
      </c>
      <c r="M156" s="47">
        <v>7717.7</v>
      </c>
    </row>
    <row r="157" spans="1:13" x14ac:dyDescent="0.2">
      <c r="A157" s="53" t="s">
        <v>386</v>
      </c>
      <c r="B157" s="54" t="s">
        <v>202</v>
      </c>
      <c r="C157" s="54" t="s">
        <v>204</v>
      </c>
      <c r="D157" s="6">
        <v>141.30000000000001</v>
      </c>
      <c r="E157" s="6">
        <v>38</v>
      </c>
      <c r="F157" s="47">
        <v>15755.70730882</v>
      </c>
      <c r="G157" s="47">
        <v>71846.03</v>
      </c>
      <c r="H157" s="6">
        <v>123</v>
      </c>
      <c r="I157" s="47">
        <v>2298127.4700000002</v>
      </c>
      <c r="J157" s="47">
        <v>-293463.54788637435</v>
      </c>
      <c r="K157" s="47">
        <v>-781.82168460500122</v>
      </c>
      <c r="L157" s="47">
        <v>2004663.9221136258</v>
      </c>
      <c r="M157" s="47">
        <v>7717.7</v>
      </c>
    </row>
    <row r="158" spans="1:13" x14ac:dyDescent="0.2">
      <c r="A158" s="53" t="s">
        <v>387</v>
      </c>
      <c r="B158" s="54" t="s">
        <v>205</v>
      </c>
      <c r="C158" s="54" t="s">
        <v>205</v>
      </c>
      <c r="D158" s="6">
        <v>3466.4</v>
      </c>
      <c r="E158" s="6">
        <v>899.6</v>
      </c>
      <c r="F158" s="47">
        <v>9384.4931859900007</v>
      </c>
      <c r="G158" s="47">
        <v>1013074.81</v>
      </c>
      <c r="H158" s="6">
        <v>3320</v>
      </c>
      <c r="I158" s="47">
        <v>33541795</v>
      </c>
      <c r="J158" s="47">
        <v>-4283180.2376817027</v>
      </c>
      <c r="K158" s="47">
        <v>-11410.899966996003</v>
      </c>
      <c r="L158" s="47">
        <v>29258614.762318298</v>
      </c>
      <c r="M158" s="47">
        <v>7717.7</v>
      </c>
    </row>
    <row r="159" spans="1:13" x14ac:dyDescent="0.2">
      <c r="A159" s="53" t="s">
        <v>388</v>
      </c>
      <c r="B159" s="54" t="s">
        <v>206</v>
      </c>
      <c r="C159" s="54" t="s">
        <v>207</v>
      </c>
      <c r="D159" s="6">
        <v>347.3</v>
      </c>
      <c r="E159" s="6">
        <v>143.30000000000001</v>
      </c>
      <c r="F159" s="47">
        <v>11291.362607450001</v>
      </c>
      <c r="G159" s="47">
        <v>194166.27</v>
      </c>
      <c r="H159" s="6">
        <v>309</v>
      </c>
      <c r="I159" s="47">
        <v>4115656.5</v>
      </c>
      <c r="J159" s="47">
        <v>-0.17</v>
      </c>
      <c r="K159" s="47">
        <v>0</v>
      </c>
      <c r="L159" s="47">
        <v>4115656.33</v>
      </c>
      <c r="M159" s="47">
        <v>7717.7</v>
      </c>
    </row>
    <row r="160" spans="1:13" x14ac:dyDescent="0.2">
      <c r="A160" s="53" t="s">
        <v>389</v>
      </c>
      <c r="B160" s="54" t="s">
        <v>206</v>
      </c>
      <c r="C160" s="54" t="s">
        <v>208</v>
      </c>
      <c r="D160" s="6">
        <v>2236.3000000000002</v>
      </c>
      <c r="E160" s="6">
        <v>527.9</v>
      </c>
      <c r="F160" s="47">
        <v>8735.6751136000003</v>
      </c>
      <c r="G160" s="47">
        <v>553387.55000000005</v>
      </c>
      <c r="H160" s="6">
        <v>1963</v>
      </c>
      <c r="I160" s="47">
        <v>20088977.809999999</v>
      </c>
      <c r="J160" s="47">
        <v>-2565298.3911868236</v>
      </c>
      <c r="K160" s="47">
        <v>-6834.2590558767779</v>
      </c>
      <c r="L160" s="47">
        <v>17523679.418813176</v>
      </c>
      <c r="M160" s="47">
        <v>7717.7</v>
      </c>
    </row>
    <row r="161" spans="1:13" x14ac:dyDescent="0.2">
      <c r="A161" s="53" t="s">
        <v>390</v>
      </c>
      <c r="B161" s="54" t="s">
        <v>209</v>
      </c>
      <c r="C161" s="54" t="s">
        <v>210</v>
      </c>
      <c r="D161" s="6">
        <v>404.5</v>
      </c>
      <c r="E161" s="6">
        <v>165</v>
      </c>
      <c r="F161" s="47">
        <v>10543.977675530001</v>
      </c>
      <c r="G161" s="47">
        <v>208770.76</v>
      </c>
      <c r="H161" s="6">
        <v>376</v>
      </c>
      <c r="I161" s="47">
        <v>4473809.7300000004</v>
      </c>
      <c r="J161" s="47">
        <v>-571291.2330030076</v>
      </c>
      <c r="K161" s="47">
        <v>-1521.9875770036576</v>
      </c>
      <c r="L161" s="47">
        <v>3902518.4969969927</v>
      </c>
      <c r="M161" s="47">
        <v>7717.7</v>
      </c>
    </row>
    <row r="162" spans="1:13" x14ac:dyDescent="0.2">
      <c r="A162" s="53" t="s">
        <v>391</v>
      </c>
      <c r="B162" s="54" t="s">
        <v>209</v>
      </c>
      <c r="C162" s="54" t="s">
        <v>211</v>
      </c>
      <c r="D162" s="6">
        <v>103</v>
      </c>
      <c r="E162" s="6">
        <v>42.6</v>
      </c>
      <c r="F162" s="47">
        <v>17007.731065520002</v>
      </c>
      <c r="G162" s="47">
        <v>86943.52</v>
      </c>
      <c r="H162" s="6">
        <v>87</v>
      </c>
      <c r="I162" s="47">
        <v>1838739.82</v>
      </c>
      <c r="J162" s="47">
        <v>-234801.21022927997</v>
      </c>
      <c r="K162" s="47">
        <v>-625.53826208025646</v>
      </c>
      <c r="L162" s="47">
        <v>1603938.6097707201</v>
      </c>
      <c r="M162" s="47">
        <v>7717.7</v>
      </c>
    </row>
    <row r="163" spans="1:13" x14ac:dyDescent="0.2">
      <c r="A163" s="53" t="s">
        <v>392</v>
      </c>
      <c r="B163" s="54" t="s">
        <v>209</v>
      </c>
      <c r="C163" s="54" t="s">
        <v>212</v>
      </c>
      <c r="D163" s="6">
        <v>224.7</v>
      </c>
      <c r="E163" s="6">
        <v>86</v>
      </c>
      <c r="F163" s="47">
        <v>13653.74109883</v>
      </c>
      <c r="G163" s="47">
        <v>140906.60999999999</v>
      </c>
      <c r="H163" s="6">
        <v>209</v>
      </c>
      <c r="I163" s="47">
        <v>3208902.23</v>
      </c>
      <c r="J163" s="47">
        <v>-409766.57976082515</v>
      </c>
      <c r="K163" s="47">
        <v>-1091.6667504049915</v>
      </c>
      <c r="L163" s="47">
        <v>2799135.6502391747</v>
      </c>
      <c r="M163" s="47">
        <v>7717.7</v>
      </c>
    </row>
    <row r="164" spans="1:13" x14ac:dyDescent="0.2">
      <c r="A164" s="53" t="s">
        <v>393</v>
      </c>
      <c r="B164" s="54" t="s">
        <v>209</v>
      </c>
      <c r="C164" s="54" t="s">
        <v>213</v>
      </c>
      <c r="D164" s="6">
        <v>139</v>
      </c>
      <c r="E164" s="6">
        <v>52.5</v>
      </c>
      <c r="F164" s="47">
        <v>16291.463178530001</v>
      </c>
      <c r="G164" s="47">
        <v>102636.22</v>
      </c>
      <c r="H164" s="6">
        <v>140</v>
      </c>
      <c r="I164" s="47">
        <v>2367149.6</v>
      </c>
      <c r="J164" s="47">
        <v>-302277.45373663359</v>
      </c>
      <c r="K164" s="47">
        <v>-805.3029747666933</v>
      </c>
      <c r="L164" s="47">
        <v>2064872.1462633666</v>
      </c>
      <c r="M164" s="47">
        <v>7717.7</v>
      </c>
    </row>
    <row r="165" spans="1:13" x14ac:dyDescent="0.2">
      <c r="A165" s="53" t="s">
        <v>394</v>
      </c>
      <c r="B165" s="54" t="s">
        <v>209</v>
      </c>
      <c r="C165" s="54" t="s">
        <v>214</v>
      </c>
      <c r="D165" s="6">
        <v>90.8</v>
      </c>
      <c r="E165" s="6">
        <v>40</v>
      </c>
      <c r="F165" s="47">
        <v>17246.272217239999</v>
      </c>
      <c r="G165" s="47">
        <v>82782.11</v>
      </c>
      <c r="H165" s="6">
        <v>70</v>
      </c>
      <c r="I165" s="47">
        <v>1648743.63</v>
      </c>
      <c r="J165" s="47">
        <v>-210539.30277194743</v>
      </c>
      <c r="K165" s="47">
        <v>-560.90166412238432</v>
      </c>
      <c r="L165" s="47">
        <v>1438204.3272280525</v>
      </c>
      <c r="M165" s="47">
        <v>7717.7</v>
      </c>
    </row>
    <row r="166" spans="1:13" x14ac:dyDescent="0.2">
      <c r="A166" s="53" t="s">
        <v>395</v>
      </c>
      <c r="B166" s="54" t="s">
        <v>215</v>
      </c>
      <c r="C166" s="54" t="s">
        <v>216</v>
      </c>
      <c r="D166" s="6">
        <v>1891.8</v>
      </c>
      <c r="E166" s="6">
        <v>832.5</v>
      </c>
      <c r="F166" s="47">
        <v>8761.4378137099993</v>
      </c>
      <c r="G166" s="47">
        <v>931851.37</v>
      </c>
      <c r="H166" s="6">
        <v>1792</v>
      </c>
      <c r="I166" s="47">
        <v>17506518.989999998</v>
      </c>
      <c r="J166" s="47">
        <v>-2235526.6367994747</v>
      </c>
      <c r="K166" s="47">
        <v>-5955.7080044525301</v>
      </c>
      <c r="L166" s="47">
        <v>15270992.353200523</v>
      </c>
      <c r="M166" s="47">
        <v>7717.7</v>
      </c>
    </row>
    <row r="167" spans="1:13" x14ac:dyDescent="0.2">
      <c r="A167" s="53" t="s">
        <v>396</v>
      </c>
      <c r="B167" s="54" t="s">
        <v>215</v>
      </c>
      <c r="C167" s="54" t="s">
        <v>217</v>
      </c>
      <c r="D167" s="6">
        <v>2018.8</v>
      </c>
      <c r="E167" s="6">
        <v>432.4</v>
      </c>
      <c r="F167" s="47">
        <v>8648.2616756299994</v>
      </c>
      <c r="G167" s="47">
        <v>448741</v>
      </c>
      <c r="H167" s="6">
        <v>1942</v>
      </c>
      <c r="I167" s="47">
        <v>17907851.670000002</v>
      </c>
      <c r="J167" s="47">
        <v>-2286775.5399578135</v>
      </c>
      <c r="K167" s="47">
        <v>-6092.2411585358595</v>
      </c>
      <c r="L167" s="47">
        <v>15621076.130042188</v>
      </c>
      <c r="M167" s="47">
        <v>7717.7</v>
      </c>
    </row>
    <row r="168" spans="1:13" x14ac:dyDescent="0.2">
      <c r="A168" s="53" t="s">
        <v>397</v>
      </c>
      <c r="B168" s="54" t="s">
        <v>215</v>
      </c>
      <c r="C168" s="54" t="s">
        <v>218</v>
      </c>
      <c r="D168" s="6">
        <v>2520.5</v>
      </c>
      <c r="E168" s="6">
        <v>877.2</v>
      </c>
      <c r="F168" s="47">
        <v>8634.9943179099992</v>
      </c>
      <c r="G168" s="47">
        <v>909152.21</v>
      </c>
      <c r="H168" s="6">
        <v>2433</v>
      </c>
      <c r="I168" s="47">
        <v>22673655.390000001</v>
      </c>
      <c r="J168" s="47">
        <v>-973403.02</v>
      </c>
      <c r="K168" s="47">
        <v>0</v>
      </c>
      <c r="L168" s="47">
        <v>21700252.370000001</v>
      </c>
      <c r="M168" s="47">
        <v>7717.7</v>
      </c>
    </row>
    <row r="169" spans="1:13" x14ac:dyDescent="0.2">
      <c r="A169" s="53" t="s">
        <v>398</v>
      </c>
      <c r="B169" s="54" t="s">
        <v>215</v>
      </c>
      <c r="C169" s="54" t="s">
        <v>219</v>
      </c>
      <c r="D169" s="6">
        <v>7343.1</v>
      </c>
      <c r="E169" s="6">
        <v>854.5</v>
      </c>
      <c r="F169" s="47">
        <v>8416.6875705599996</v>
      </c>
      <c r="G169" s="47">
        <v>863047.14</v>
      </c>
      <c r="H169" s="6">
        <v>7313</v>
      </c>
      <c r="I169" s="47">
        <v>64968224.109999999</v>
      </c>
      <c r="J169" s="47">
        <v>-8296234.99831264</v>
      </c>
      <c r="K169" s="47">
        <v>-22102.153637054544</v>
      </c>
      <c r="L169" s="47">
        <v>56671989.111687362</v>
      </c>
      <c r="M169" s="47">
        <v>7717.7</v>
      </c>
    </row>
    <row r="170" spans="1:13" x14ac:dyDescent="0.2">
      <c r="A170" s="53" t="s">
        <v>399</v>
      </c>
      <c r="B170" s="54" t="s">
        <v>215</v>
      </c>
      <c r="C170" s="54" t="s">
        <v>220</v>
      </c>
      <c r="D170" s="6">
        <v>3779.3</v>
      </c>
      <c r="E170" s="6">
        <v>791.8</v>
      </c>
      <c r="F170" s="47">
        <v>8458.8708089699994</v>
      </c>
      <c r="G170" s="47">
        <v>803728.07</v>
      </c>
      <c r="H170" s="6">
        <v>3602</v>
      </c>
      <c r="I170" s="47">
        <v>33437432.34</v>
      </c>
      <c r="J170" s="47">
        <v>-4269853.4588714484</v>
      </c>
      <c r="K170" s="47">
        <v>-11375.395848222703</v>
      </c>
      <c r="L170" s="47">
        <v>29167578.88112855</v>
      </c>
      <c r="M170" s="47">
        <v>7717.7</v>
      </c>
    </row>
    <row r="171" spans="1:13" x14ac:dyDescent="0.2">
      <c r="A171" s="53" t="s">
        <v>400</v>
      </c>
      <c r="B171" s="54" t="s">
        <v>215</v>
      </c>
      <c r="C171" s="54" t="s">
        <v>221</v>
      </c>
      <c r="D171" s="6">
        <v>22215.599999999999</v>
      </c>
      <c r="E171" s="6">
        <v>12491.8</v>
      </c>
      <c r="F171" s="47">
        <v>8499.1943042300009</v>
      </c>
      <c r="G171" s="47">
        <v>15514891.810000001</v>
      </c>
      <c r="H171" s="6">
        <v>21545</v>
      </c>
      <c r="I171" s="47">
        <v>204329927.24000001</v>
      </c>
      <c r="J171" s="47">
        <v>-26092279.984458443</v>
      </c>
      <c r="K171" s="47">
        <v>-69512.927379086643</v>
      </c>
      <c r="L171" s="47">
        <v>178237647.25554156</v>
      </c>
      <c r="M171" s="47">
        <v>7717.7</v>
      </c>
    </row>
    <row r="172" spans="1:13" x14ac:dyDescent="0.2">
      <c r="A172" s="53" t="s">
        <v>401</v>
      </c>
      <c r="B172" s="54" t="s">
        <v>215</v>
      </c>
      <c r="C172" s="54" t="s">
        <v>204</v>
      </c>
      <c r="D172" s="6">
        <v>1131.9000000000001</v>
      </c>
      <c r="E172" s="6">
        <v>409.8</v>
      </c>
      <c r="F172" s="47">
        <v>9074.0632542300009</v>
      </c>
      <c r="G172" s="47">
        <v>451388.28</v>
      </c>
      <c r="H172" s="6">
        <v>1030</v>
      </c>
      <c r="I172" s="47">
        <v>10722320.48</v>
      </c>
      <c r="J172" s="47">
        <v>-1001.88</v>
      </c>
      <c r="K172" s="47">
        <v>0</v>
      </c>
      <c r="L172" s="47">
        <v>10721318.6</v>
      </c>
      <c r="M172" s="47">
        <v>7717.7</v>
      </c>
    </row>
    <row r="173" spans="1:13" x14ac:dyDescent="0.2">
      <c r="A173" s="53" t="s">
        <v>402</v>
      </c>
      <c r="B173" s="54" t="s">
        <v>215</v>
      </c>
      <c r="C173" s="54" t="s">
        <v>222</v>
      </c>
      <c r="D173" s="6">
        <v>2258.9</v>
      </c>
      <c r="E173" s="6">
        <v>1136.9000000000001</v>
      </c>
      <c r="F173" s="47">
        <v>8796.0117060100001</v>
      </c>
      <c r="G173" s="47">
        <v>1389044.89</v>
      </c>
      <c r="H173" s="6">
        <v>2108</v>
      </c>
      <c r="I173" s="47">
        <v>21258355.73</v>
      </c>
      <c r="J173" s="47">
        <v>-2515632.7200000002</v>
      </c>
      <c r="K173" s="47">
        <v>0</v>
      </c>
      <c r="L173" s="47">
        <v>18742723.010000002</v>
      </c>
      <c r="M173" s="47">
        <v>7717.7</v>
      </c>
    </row>
    <row r="174" spans="1:13" x14ac:dyDescent="0.2">
      <c r="A174" s="53" t="s">
        <v>403</v>
      </c>
      <c r="B174" s="54" t="s">
        <v>215</v>
      </c>
      <c r="C174" s="54" t="s">
        <v>223</v>
      </c>
      <c r="D174" s="6">
        <v>949.3</v>
      </c>
      <c r="E174" s="6">
        <v>352.8</v>
      </c>
      <c r="F174" s="47">
        <v>9181.5602767300006</v>
      </c>
      <c r="G174" s="47">
        <v>392578.36</v>
      </c>
      <c r="H174" s="6">
        <v>894</v>
      </c>
      <c r="I174" s="47">
        <v>9108633.5299999993</v>
      </c>
      <c r="J174" s="47">
        <v>-1163143.4491797748</v>
      </c>
      <c r="K174" s="47">
        <v>-3098.752050892198</v>
      </c>
      <c r="L174" s="47">
        <v>7945490.0808202242</v>
      </c>
      <c r="M174" s="47">
        <v>7717.7</v>
      </c>
    </row>
    <row r="175" spans="1:13" x14ac:dyDescent="0.2">
      <c r="A175" s="53" t="s">
        <v>404</v>
      </c>
      <c r="B175" s="54" t="s">
        <v>215</v>
      </c>
      <c r="C175" s="54" t="s">
        <v>224</v>
      </c>
      <c r="D175" s="6">
        <v>173.8</v>
      </c>
      <c r="E175" s="6">
        <v>29</v>
      </c>
      <c r="F175" s="47">
        <v>15294.1813041</v>
      </c>
      <c r="G175" s="47">
        <v>53223.75</v>
      </c>
      <c r="H175" s="6">
        <v>158</v>
      </c>
      <c r="I175" s="47">
        <v>2711352.46</v>
      </c>
      <c r="J175" s="47">
        <v>-346231.06110038742</v>
      </c>
      <c r="K175" s="47">
        <v>-922.40059592304249</v>
      </c>
      <c r="L175" s="47">
        <v>2365121.3988996125</v>
      </c>
      <c r="M175" s="47">
        <v>7717.7</v>
      </c>
    </row>
    <row r="176" spans="1:13" x14ac:dyDescent="0.2">
      <c r="A176" s="53" t="s">
        <v>405</v>
      </c>
      <c r="B176" s="54" t="s">
        <v>215</v>
      </c>
      <c r="C176" s="54" t="s">
        <v>225</v>
      </c>
      <c r="D176" s="6">
        <v>210.5</v>
      </c>
      <c r="E176" s="6">
        <v>37</v>
      </c>
      <c r="F176" s="47">
        <v>14184.59055418</v>
      </c>
      <c r="G176" s="47">
        <v>62979.58</v>
      </c>
      <c r="H176" s="6">
        <v>206</v>
      </c>
      <c r="I176" s="47">
        <v>3048835.89</v>
      </c>
      <c r="J176" s="47">
        <v>-389326.61868521664</v>
      </c>
      <c r="K176" s="47">
        <v>-1037.2122707379622</v>
      </c>
      <c r="L176" s="47">
        <v>2659509.2713147835</v>
      </c>
      <c r="M176" s="47">
        <v>7717.7</v>
      </c>
    </row>
    <row r="177" spans="1:13" x14ac:dyDescent="0.2">
      <c r="A177" s="53" t="s">
        <v>406</v>
      </c>
      <c r="B177" s="54" t="s">
        <v>215</v>
      </c>
      <c r="C177" s="54" t="s">
        <v>226</v>
      </c>
      <c r="D177" s="6">
        <v>72.2</v>
      </c>
      <c r="E177" s="6">
        <v>24.2</v>
      </c>
      <c r="F177" s="47">
        <v>18280.870456280001</v>
      </c>
      <c r="G177" s="47">
        <v>53087.65</v>
      </c>
      <c r="H177" s="6">
        <v>54</v>
      </c>
      <c r="I177" s="47">
        <v>1372966.5</v>
      </c>
      <c r="J177" s="47">
        <v>-259</v>
      </c>
      <c r="K177" s="47">
        <v>0</v>
      </c>
      <c r="L177" s="47">
        <v>1372707.5</v>
      </c>
      <c r="M177" s="47">
        <v>7717.7</v>
      </c>
    </row>
    <row r="178" spans="1:13" x14ac:dyDescent="0.2">
      <c r="A178" s="55" t="s">
        <v>407</v>
      </c>
      <c r="B178" s="54" t="s">
        <v>227</v>
      </c>
      <c r="C178" s="54" t="s">
        <v>228</v>
      </c>
      <c r="D178" s="6">
        <v>864</v>
      </c>
      <c r="E178" s="6">
        <v>467.1</v>
      </c>
      <c r="F178" s="47">
        <v>9518.8652811800002</v>
      </c>
      <c r="G178" s="47">
        <v>629455.72</v>
      </c>
      <c r="H178" s="6">
        <v>842</v>
      </c>
      <c r="I178" s="47">
        <v>8853755.3200000003</v>
      </c>
      <c r="J178" s="47">
        <v>-1130596.3147140229</v>
      </c>
      <c r="K178" s="47">
        <v>-3012.0426258874541</v>
      </c>
      <c r="L178" s="47">
        <v>7723159.0052859774</v>
      </c>
      <c r="M178" s="47">
        <v>7717.7</v>
      </c>
    </row>
    <row r="179" spans="1:13" x14ac:dyDescent="0.2">
      <c r="A179" s="55" t="s">
        <v>408</v>
      </c>
      <c r="B179" s="54" t="s">
        <v>227</v>
      </c>
      <c r="C179" s="54" t="s">
        <v>229</v>
      </c>
      <c r="D179" s="6">
        <v>720.5</v>
      </c>
      <c r="E179" s="6">
        <v>268.7</v>
      </c>
      <c r="F179" s="47">
        <v>9419.0073773399999</v>
      </c>
      <c r="G179" s="47">
        <v>305675.03999999998</v>
      </c>
      <c r="H179" s="6">
        <v>695</v>
      </c>
      <c r="I179" s="47">
        <v>7092069.8600000003</v>
      </c>
      <c r="J179" s="47">
        <v>-905634.70048666268</v>
      </c>
      <c r="K179" s="47">
        <v>-2412.7182141387289</v>
      </c>
      <c r="L179" s="47">
        <v>6186435.1595133375</v>
      </c>
      <c r="M179" s="47">
        <v>7717.7</v>
      </c>
    </row>
    <row r="180" spans="1:13" x14ac:dyDescent="0.2">
      <c r="A180" s="55" t="s">
        <v>409</v>
      </c>
      <c r="B180" s="54" t="s">
        <v>227</v>
      </c>
      <c r="C180" s="54" t="s">
        <v>230</v>
      </c>
      <c r="D180" s="6">
        <v>197.5</v>
      </c>
      <c r="E180" s="6">
        <v>69</v>
      </c>
      <c r="F180" s="47">
        <v>14591.02524744</v>
      </c>
      <c r="G180" s="47">
        <v>120813.69</v>
      </c>
      <c r="H180" s="6">
        <v>177</v>
      </c>
      <c r="I180" s="47">
        <v>3002541.18</v>
      </c>
      <c r="J180" s="47">
        <v>-383414.93187831779</v>
      </c>
      <c r="K180" s="47">
        <v>-1021.4628361948471</v>
      </c>
      <c r="L180" s="47">
        <v>2619126.2481216826</v>
      </c>
      <c r="M180" s="47">
        <v>7717.7</v>
      </c>
    </row>
    <row r="181" spans="1:13" x14ac:dyDescent="0.2">
      <c r="A181" s="55" t="s">
        <v>410</v>
      </c>
      <c r="B181" s="54" t="s">
        <v>227</v>
      </c>
      <c r="C181" s="54" t="s">
        <v>231</v>
      </c>
      <c r="D181" s="6">
        <v>60.5</v>
      </c>
      <c r="E181" s="6">
        <v>23</v>
      </c>
      <c r="F181" s="47">
        <v>19294.59796426</v>
      </c>
      <c r="G181" s="47">
        <v>53253.09</v>
      </c>
      <c r="H181" s="6">
        <v>56</v>
      </c>
      <c r="I181" s="47">
        <v>1220576.27</v>
      </c>
      <c r="J181" s="47">
        <v>-155863.69656863165</v>
      </c>
      <c r="K181" s="47">
        <v>-415.23936685735231</v>
      </c>
      <c r="L181" s="47">
        <v>1064712.5734313685</v>
      </c>
      <c r="M181" s="47">
        <v>7717.7</v>
      </c>
    </row>
    <row r="182" spans="1:13" x14ac:dyDescent="0.2">
      <c r="A182"/>
      <c r="B182"/>
      <c r="C182"/>
      <c r="D182"/>
      <c r="E182"/>
      <c r="F182" s="5"/>
      <c r="G182"/>
      <c r="H182"/>
      <c r="I182"/>
      <c r="J182" s="47"/>
      <c r="K182" s="47"/>
      <c r="L182" s="47">
        <f t="shared" ref="L182:L183" si="0">I182+J182</f>
        <v>0</v>
      </c>
      <c r="M182"/>
    </row>
    <row r="183" spans="1:13" x14ac:dyDescent="0.2">
      <c r="A183"/>
      <c r="B183"/>
      <c r="C183"/>
      <c r="D183" s="47">
        <f t="shared" ref="D183:H183" si="1">SUM(D4:D181)</f>
        <v>891062.90000000107</v>
      </c>
      <c r="E183" s="47">
        <f t="shared" si="1"/>
        <v>300602.49999999971</v>
      </c>
      <c r="F183" s="47">
        <f t="shared" si="1"/>
        <v>2018955.0153944795</v>
      </c>
      <c r="G183" s="47">
        <f t="shared" si="1"/>
        <v>364132974.42999995</v>
      </c>
      <c r="H183" s="47">
        <f t="shared" si="1"/>
        <v>846780</v>
      </c>
      <c r="I183" s="47">
        <f>SUM(I4:I181)</f>
        <v>8291005431.0999994</v>
      </c>
      <c r="J183" s="47">
        <f t="shared" ref="J183:K183" si="2">SUM(J4:J181)</f>
        <v>-1052661911.9999995</v>
      </c>
      <c r="K183" s="47">
        <f t="shared" si="2"/>
        <v>-2732265.0031985394</v>
      </c>
      <c r="L183" s="47">
        <f t="shared" si="0"/>
        <v>7238343519.1000004</v>
      </c>
      <c r="M183"/>
    </row>
    <row r="185" spans="1:13" x14ac:dyDescent="0.2">
      <c r="I185" s="20"/>
    </row>
    <row r="186" spans="1:13" x14ac:dyDescent="0.2">
      <c r="I186" s="2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4"/>
  <sheetViews>
    <sheetView workbookViewId="0">
      <pane xSplit="2" ySplit="1" topLeftCell="C8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15.140625" style="31" customWidth="1"/>
    <col min="2" max="2" width="15.140625" style="31" bestFit="1" customWidth="1"/>
    <col min="3" max="4" width="18.5703125" style="33" bestFit="1" customWidth="1"/>
    <col min="5" max="5" width="20.140625" style="33" bestFit="1" customWidth="1"/>
    <col min="6" max="6" width="16.42578125" style="35" bestFit="1" customWidth="1"/>
    <col min="7" max="7" width="13.5703125" style="35" bestFit="1" customWidth="1"/>
    <col min="8" max="8" width="17.5703125" style="35" bestFit="1" customWidth="1"/>
    <col min="9" max="9" width="15" style="35" customWidth="1"/>
    <col min="10" max="10" width="15.85546875" style="31" customWidth="1"/>
    <col min="11" max="11" width="17.42578125" style="31" customWidth="1"/>
    <col min="12" max="12" width="18.42578125" style="31" customWidth="1"/>
    <col min="13" max="13" width="19.5703125" style="31" bestFit="1" customWidth="1"/>
    <col min="14" max="15" width="9.140625" style="31"/>
    <col min="16" max="16" width="13.140625" style="31" bestFit="1" customWidth="1"/>
    <col min="17" max="20" width="9.140625" style="31"/>
    <col min="21" max="21" width="14.42578125" style="31" bestFit="1" customWidth="1"/>
    <col min="22" max="22" width="36.5703125" style="31" bestFit="1" customWidth="1"/>
    <col min="23" max="254" width="9.140625" style="31"/>
    <col min="255" max="255" width="15.140625" style="31" customWidth="1"/>
    <col min="256" max="256" width="15.140625" style="31" bestFit="1" customWidth="1"/>
    <col min="257" max="258" width="18.5703125" style="31" bestFit="1" customWidth="1"/>
    <col min="259" max="259" width="16.42578125" style="31" bestFit="1" customWidth="1"/>
    <col min="260" max="260" width="13.5703125" style="31" bestFit="1" customWidth="1"/>
    <col min="261" max="261" width="17.5703125" style="31" bestFit="1" customWidth="1"/>
    <col min="262" max="262" width="17.42578125" style="31" bestFit="1" customWidth="1"/>
    <col min="263" max="263" width="22.5703125" style="31" bestFit="1" customWidth="1"/>
    <col min="264" max="264" width="15.85546875" style="31" bestFit="1" customWidth="1"/>
    <col min="265" max="265" width="17.42578125" style="31" bestFit="1" customWidth="1"/>
    <col min="266" max="266" width="18.42578125" style="31" bestFit="1" customWidth="1"/>
    <col min="267" max="267" width="19.5703125" style="31" bestFit="1" customWidth="1"/>
    <col min="268" max="510" width="9.140625" style="31"/>
    <col min="511" max="511" width="15.140625" style="31" customWidth="1"/>
    <col min="512" max="512" width="15.140625" style="31" bestFit="1" customWidth="1"/>
    <col min="513" max="514" width="18.5703125" style="31" bestFit="1" customWidth="1"/>
    <col min="515" max="515" width="16.42578125" style="31" bestFit="1" customWidth="1"/>
    <col min="516" max="516" width="13.5703125" style="31" bestFit="1" customWidth="1"/>
    <col min="517" max="517" width="17.5703125" style="31" bestFit="1" customWidth="1"/>
    <col min="518" max="518" width="17.42578125" style="31" bestFit="1" customWidth="1"/>
    <col min="519" max="519" width="22.5703125" style="31" bestFit="1" customWidth="1"/>
    <col min="520" max="520" width="15.85546875" style="31" bestFit="1" customWidth="1"/>
    <col min="521" max="521" width="17.42578125" style="31" bestFit="1" customWidth="1"/>
    <col min="522" max="522" width="18.42578125" style="31" bestFit="1" customWidth="1"/>
    <col min="523" max="523" width="19.5703125" style="31" bestFit="1" customWidth="1"/>
    <col min="524" max="766" width="9.140625" style="31"/>
    <col min="767" max="767" width="15.140625" style="31" customWidth="1"/>
    <col min="768" max="768" width="15.140625" style="31" bestFit="1" customWidth="1"/>
    <col min="769" max="770" width="18.5703125" style="31" bestFit="1" customWidth="1"/>
    <col min="771" max="771" width="16.42578125" style="31" bestFit="1" customWidth="1"/>
    <col min="772" max="772" width="13.5703125" style="31" bestFit="1" customWidth="1"/>
    <col min="773" max="773" width="17.5703125" style="31" bestFit="1" customWidth="1"/>
    <col min="774" max="774" width="17.42578125" style="31" bestFit="1" customWidth="1"/>
    <col min="775" max="775" width="22.5703125" style="31" bestFit="1" customWidth="1"/>
    <col min="776" max="776" width="15.85546875" style="31" bestFit="1" customWidth="1"/>
    <col min="777" max="777" width="17.42578125" style="31" bestFit="1" customWidth="1"/>
    <col min="778" max="778" width="18.42578125" style="31" bestFit="1" customWidth="1"/>
    <col min="779" max="779" width="19.5703125" style="31" bestFit="1" customWidth="1"/>
    <col min="780" max="1022" width="9.140625" style="31"/>
    <col min="1023" max="1023" width="15.140625" style="31" customWidth="1"/>
    <col min="1024" max="1024" width="15.140625" style="31" bestFit="1" customWidth="1"/>
    <col min="1025" max="1026" width="18.5703125" style="31" bestFit="1" customWidth="1"/>
    <col min="1027" max="1027" width="16.42578125" style="31" bestFit="1" customWidth="1"/>
    <col min="1028" max="1028" width="13.5703125" style="31" bestFit="1" customWidth="1"/>
    <col min="1029" max="1029" width="17.5703125" style="31" bestFit="1" customWidth="1"/>
    <col min="1030" max="1030" width="17.42578125" style="31" bestFit="1" customWidth="1"/>
    <col min="1031" max="1031" width="22.5703125" style="31" bestFit="1" customWidth="1"/>
    <col min="1032" max="1032" width="15.85546875" style="31" bestFit="1" customWidth="1"/>
    <col min="1033" max="1033" width="17.42578125" style="31" bestFit="1" customWidth="1"/>
    <col min="1034" max="1034" width="18.42578125" style="31" bestFit="1" customWidth="1"/>
    <col min="1035" max="1035" width="19.5703125" style="31" bestFit="1" customWidth="1"/>
    <col min="1036" max="1278" width="9.140625" style="31"/>
    <col min="1279" max="1279" width="15.140625" style="31" customWidth="1"/>
    <col min="1280" max="1280" width="15.140625" style="31" bestFit="1" customWidth="1"/>
    <col min="1281" max="1282" width="18.5703125" style="31" bestFit="1" customWidth="1"/>
    <col min="1283" max="1283" width="16.42578125" style="31" bestFit="1" customWidth="1"/>
    <col min="1284" max="1284" width="13.5703125" style="31" bestFit="1" customWidth="1"/>
    <col min="1285" max="1285" width="17.5703125" style="31" bestFit="1" customWidth="1"/>
    <col min="1286" max="1286" width="17.42578125" style="31" bestFit="1" customWidth="1"/>
    <col min="1287" max="1287" width="22.5703125" style="31" bestFit="1" customWidth="1"/>
    <col min="1288" max="1288" width="15.85546875" style="31" bestFit="1" customWidth="1"/>
    <col min="1289" max="1289" width="17.42578125" style="31" bestFit="1" customWidth="1"/>
    <col min="1290" max="1290" width="18.42578125" style="31" bestFit="1" customWidth="1"/>
    <col min="1291" max="1291" width="19.5703125" style="31" bestFit="1" customWidth="1"/>
    <col min="1292" max="1534" width="9.140625" style="31"/>
    <col min="1535" max="1535" width="15.140625" style="31" customWidth="1"/>
    <col min="1536" max="1536" width="15.140625" style="31" bestFit="1" customWidth="1"/>
    <col min="1537" max="1538" width="18.5703125" style="31" bestFit="1" customWidth="1"/>
    <col min="1539" max="1539" width="16.42578125" style="31" bestFit="1" customWidth="1"/>
    <col min="1540" max="1540" width="13.5703125" style="31" bestFit="1" customWidth="1"/>
    <col min="1541" max="1541" width="17.5703125" style="31" bestFit="1" customWidth="1"/>
    <col min="1542" max="1542" width="17.42578125" style="31" bestFit="1" customWidth="1"/>
    <col min="1543" max="1543" width="22.5703125" style="31" bestFit="1" customWidth="1"/>
    <col min="1544" max="1544" width="15.85546875" style="31" bestFit="1" customWidth="1"/>
    <col min="1545" max="1545" width="17.42578125" style="31" bestFit="1" customWidth="1"/>
    <col min="1546" max="1546" width="18.42578125" style="31" bestFit="1" customWidth="1"/>
    <col min="1547" max="1547" width="19.5703125" style="31" bestFit="1" customWidth="1"/>
    <col min="1548" max="1790" width="9.140625" style="31"/>
    <col min="1791" max="1791" width="15.140625" style="31" customWidth="1"/>
    <col min="1792" max="1792" width="15.140625" style="31" bestFit="1" customWidth="1"/>
    <col min="1793" max="1794" width="18.5703125" style="31" bestFit="1" customWidth="1"/>
    <col min="1795" max="1795" width="16.42578125" style="31" bestFit="1" customWidth="1"/>
    <col min="1796" max="1796" width="13.5703125" style="31" bestFit="1" customWidth="1"/>
    <col min="1797" max="1797" width="17.5703125" style="31" bestFit="1" customWidth="1"/>
    <col min="1798" max="1798" width="17.42578125" style="31" bestFit="1" customWidth="1"/>
    <col min="1799" max="1799" width="22.5703125" style="31" bestFit="1" customWidth="1"/>
    <col min="1800" max="1800" width="15.85546875" style="31" bestFit="1" customWidth="1"/>
    <col min="1801" max="1801" width="17.42578125" style="31" bestFit="1" customWidth="1"/>
    <col min="1802" max="1802" width="18.42578125" style="31" bestFit="1" customWidth="1"/>
    <col min="1803" max="1803" width="19.5703125" style="31" bestFit="1" customWidth="1"/>
    <col min="1804" max="2046" width="9.140625" style="31"/>
    <col min="2047" max="2047" width="15.140625" style="31" customWidth="1"/>
    <col min="2048" max="2048" width="15.140625" style="31" bestFit="1" customWidth="1"/>
    <col min="2049" max="2050" width="18.5703125" style="31" bestFit="1" customWidth="1"/>
    <col min="2051" max="2051" width="16.42578125" style="31" bestFit="1" customWidth="1"/>
    <col min="2052" max="2052" width="13.5703125" style="31" bestFit="1" customWidth="1"/>
    <col min="2053" max="2053" width="17.5703125" style="31" bestFit="1" customWidth="1"/>
    <col min="2054" max="2054" width="17.42578125" style="31" bestFit="1" customWidth="1"/>
    <col min="2055" max="2055" width="22.5703125" style="31" bestFit="1" customWidth="1"/>
    <col min="2056" max="2056" width="15.85546875" style="31" bestFit="1" customWidth="1"/>
    <col min="2057" max="2057" width="17.42578125" style="31" bestFit="1" customWidth="1"/>
    <col min="2058" max="2058" width="18.42578125" style="31" bestFit="1" customWidth="1"/>
    <col min="2059" max="2059" width="19.5703125" style="31" bestFit="1" customWidth="1"/>
    <col min="2060" max="2302" width="9.140625" style="31"/>
    <col min="2303" max="2303" width="15.140625" style="31" customWidth="1"/>
    <col min="2304" max="2304" width="15.140625" style="31" bestFit="1" customWidth="1"/>
    <col min="2305" max="2306" width="18.5703125" style="31" bestFit="1" customWidth="1"/>
    <col min="2307" max="2307" width="16.42578125" style="31" bestFit="1" customWidth="1"/>
    <col min="2308" max="2308" width="13.5703125" style="31" bestFit="1" customWidth="1"/>
    <col min="2309" max="2309" width="17.5703125" style="31" bestFit="1" customWidth="1"/>
    <col min="2310" max="2310" width="17.42578125" style="31" bestFit="1" customWidth="1"/>
    <col min="2311" max="2311" width="22.5703125" style="31" bestFit="1" customWidth="1"/>
    <col min="2312" max="2312" width="15.85546875" style="31" bestFit="1" customWidth="1"/>
    <col min="2313" max="2313" width="17.42578125" style="31" bestFit="1" customWidth="1"/>
    <col min="2314" max="2314" width="18.42578125" style="31" bestFit="1" customWidth="1"/>
    <col min="2315" max="2315" width="19.5703125" style="31" bestFit="1" customWidth="1"/>
    <col min="2316" max="2558" width="9.140625" style="31"/>
    <col min="2559" max="2559" width="15.140625" style="31" customWidth="1"/>
    <col min="2560" max="2560" width="15.140625" style="31" bestFit="1" customWidth="1"/>
    <col min="2561" max="2562" width="18.5703125" style="31" bestFit="1" customWidth="1"/>
    <col min="2563" max="2563" width="16.42578125" style="31" bestFit="1" customWidth="1"/>
    <col min="2564" max="2564" width="13.5703125" style="31" bestFit="1" customWidth="1"/>
    <col min="2565" max="2565" width="17.5703125" style="31" bestFit="1" customWidth="1"/>
    <col min="2566" max="2566" width="17.42578125" style="31" bestFit="1" customWidth="1"/>
    <col min="2567" max="2567" width="22.5703125" style="31" bestFit="1" customWidth="1"/>
    <col min="2568" max="2568" width="15.85546875" style="31" bestFit="1" customWidth="1"/>
    <col min="2569" max="2569" width="17.42578125" style="31" bestFit="1" customWidth="1"/>
    <col min="2570" max="2570" width="18.42578125" style="31" bestFit="1" customWidth="1"/>
    <col min="2571" max="2571" width="19.5703125" style="31" bestFit="1" customWidth="1"/>
    <col min="2572" max="2814" width="9.140625" style="31"/>
    <col min="2815" max="2815" width="15.140625" style="31" customWidth="1"/>
    <col min="2816" max="2816" width="15.140625" style="31" bestFit="1" customWidth="1"/>
    <col min="2817" max="2818" width="18.5703125" style="31" bestFit="1" customWidth="1"/>
    <col min="2819" max="2819" width="16.42578125" style="31" bestFit="1" customWidth="1"/>
    <col min="2820" max="2820" width="13.5703125" style="31" bestFit="1" customWidth="1"/>
    <col min="2821" max="2821" width="17.5703125" style="31" bestFit="1" customWidth="1"/>
    <col min="2822" max="2822" width="17.42578125" style="31" bestFit="1" customWidth="1"/>
    <col min="2823" max="2823" width="22.5703125" style="31" bestFit="1" customWidth="1"/>
    <col min="2824" max="2824" width="15.85546875" style="31" bestFit="1" customWidth="1"/>
    <col min="2825" max="2825" width="17.42578125" style="31" bestFit="1" customWidth="1"/>
    <col min="2826" max="2826" width="18.42578125" style="31" bestFit="1" customWidth="1"/>
    <col min="2827" max="2827" width="19.5703125" style="31" bestFit="1" customWidth="1"/>
    <col min="2828" max="3070" width="9.140625" style="31"/>
    <col min="3071" max="3071" width="15.140625" style="31" customWidth="1"/>
    <col min="3072" max="3072" width="15.140625" style="31" bestFit="1" customWidth="1"/>
    <col min="3073" max="3074" width="18.5703125" style="31" bestFit="1" customWidth="1"/>
    <col min="3075" max="3075" width="16.42578125" style="31" bestFit="1" customWidth="1"/>
    <col min="3076" max="3076" width="13.5703125" style="31" bestFit="1" customWidth="1"/>
    <col min="3077" max="3077" width="17.5703125" style="31" bestFit="1" customWidth="1"/>
    <col min="3078" max="3078" width="17.42578125" style="31" bestFit="1" customWidth="1"/>
    <col min="3079" max="3079" width="22.5703125" style="31" bestFit="1" customWidth="1"/>
    <col min="3080" max="3080" width="15.85546875" style="31" bestFit="1" customWidth="1"/>
    <col min="3081" max="3081" width="17.42578125" style="31" bestFit="1" customWidth="1"/>
    <col min="3082" max="3082" width="18.42578125" style="31" bestFit="1" customWidth="1"/>
    <col min="3083" max="3083" width="19.5703125" style="31" bestFit="1" customWidth="1"/>
    <col min="3084" max="3326" width="9.140625" style="31"/>
    <col min="3327" max="3327" width="15.140625" style="31" customWidth="1"/>
    <col min="3328" max="3328" width="15.140625" style="31" bestFit="1" customWidth="1"/>
    <col min="3329" max="3330" width="18.5703125" style="31" bestFit="1" customWidth="1"/>
    <col min="3331" max="3331" width="16.42578125" style="31" bestFit="1" customWidth="1"/>
    <col min="3332" max="3332" width="13.5703125" style="31" bestFit="1" customWidth="1"/>
    <col min="3333" max="3333" width="17.5703125" style="31" bestFit="1" customWidth="1"/>
    <col min="3334" max="3334" width="17.42578125" style="31" bestFit="1" customWidth="1"/>
    <col min="3335" max="3335" width="22.5703125" style="31" bestFit="1" customWidth="1"/>
    <col min="3336" max="3336" width="15.85546875" style="31" bestFit="1" customWidth="1"/>
    <col min="3337" max="3337" width="17.42578125" style="31" bestFit="1" customWidth="1"/>
    <col min="3338" max="3338" width="18.42578125" style="31" bestFit="1" customWidth="1"/>
    <col min="3339" max="3339" width="19.5703125" style="31" bestFit="1" customWidth="1"/>
    <col min="3340" max="3582" width="9.140625" style="31"/>
    <col min="3583" max="3583" width="15.140625" style="31" customWidth="1"/>
    <col min="3584" max="3584" width="15.140625" style="31" bestFit="1" customWidth="1"/>
    <col min="3585" max="3586" width="18.5703125" style="31" bestFit="1" customWidth="1"/>
    <col min="3587" max="3587" width="16.42578125" style="31" bestFit="1" customWidth="1"/>
    <col min="3588" max="3588" width="13.5703125" style="31" bestFit="1" customWidth="1"/>
    <col min="3589" max="3589" width="17.5703125" style="31" bestFit="1" customWidth="1"/>
    <col min="3590" max="3590" width="17.42578125" style="31" bestFit="1" customWidth="1"/>
    <col min="3591" max="3591" width="22.5703125" style="31" bestFit="1" customWidth="1"/>
    <col min="3592" max="3592" width="15.85546875" style="31" bestFit="1" customWidth="1"/>
    <col min="3593" max="3593" width="17.42578125" style="31" bestFit="1" customWidth="1"/>
    <col min="3594" max="3594" width="18.42578125" style="31" bestFit="1" customWidth="1"/>
    <col min="3595" max="3595" width="19.5703125" style="31" bestFit="1" customWidth="1"/>
    <col min="3596" max="3838" width="9.140625" style="31"/>
    <col min="3839" max="3839" width="15.140625" style="31" customWidth="1"/>
    <col min="3840" max="3840" width="15.140625" style="31" bestFit="1" customWidth="1"/>
    <col min="3841" max="3842" width="18.5703125" style="31" bestFit="1" customWidth="1"/>
    <col min="3843" max="3843" width="16.42578125" style="31" bestFit="1" customWidth="1"/>
    <col min="3844" max="3844" width="13.5703125" style="31" bestFit="1" customWidth="1"/>
    <col min="3845" max="3845" width="17.5703125" style="31" bestFit="1" customWidth="1"/>
    <col min="3846" max="3846" width="17.42578125" style="31" bestFit="1" customWidth="1"/>
    <col min="3847" max="3847" width="22.5703125" style="31" bestFit="1" customWidth="1"/>
    <col min="3848" max="3848" width="15.85546875" style="31" bestFit="1" customWidth="1"/>
    <col min="3849" max="3849" width="17.42578125" style="31" bestFit="1" customWidth="1"/>
    <col min="3850" max="3850" width="18.42578125" style="31" bestFit="1" customWidth="1"/>
    <col min="3851" max="3851" width="19.5703125" style="31" bestFit="1" customWidth="1"/>
    <col min="3852" max="4094" width="9.140625" style="31"/>
    <col min="4095" max="4095" width="15.140625" style="31" customWidth="1"/>
    <col min="4096" max="4096" width="15.140625" style="31" bestFit="1" customWidth="1"/>
    <col min="4097" max="4098" width="18.5703125" style="31" bestFit="1" customWidth="1"/>
    <col min="4099" max="4099" width="16.42578125" style="31" bestFit="1" customWidth="1"/>
    <col min="4100" max="4100" width="13.5703125" style="31" bestFit="1" customWidth="1"/>
    <col min="4101" max="4101" width="17.5703125" style="31" bestFit="1" customWidth="1"/>
    <col min="4102" max="4102" width="17.42578125" style="31" bestFit="1" customWidth="1"/>
    <col min="4103" max="4103" width="22.5703125" style="31" bestFit="1" customWidth="1"/>
    <col min="4104" max="4104" width="15.85546875" style="31" bestFit="1" customWidth="1"/>
    <col min="4105" max="4105" width="17.42578125" style="31" bestFit="1" customWidth="1"/>
    <col min="4106" max="4106" width="18.42578125" style="31" bestFit="1" customWidth="1"/>
    <col min="4107" max="4107" width="19.5703125" style="31" bestFit="1" customWidth="1"/>
    <col min="4108" max="4350" width="9.140625" style="31"/>
    <col min="4351" max="4351" width="15.140625" style="31" customWidth="1"/>
    <col min="4352" max="4352" width="15.140625" style="31" bestFit="1" customWidth="1"/>
    <col min="4353" max="4354" width="18.5703125" style="31" bestFit="1" customWidth="1"/>
    <col min="4355" max="4355" width="16.42578125" style="31" bestFit="1" customWidth="1"/>
    <col min="4356" max="4356" width="13.5703125" style="31" bestFit="1" customWidth="1"/>
    <col min="4357" max="4357" width="17.5703125" style="31" bestFit="1" customWidth="1"/>
    <col min="4358" max="4358" width="17.42578125" style="31" bestFit="1" customWidth="1"/>
    <col min="4359" max="4359" width="22.5703125" style="31" bestFit="1" customWidth="1"/>
    <col min="4360" max="4360" width="15.85546875" style="31" bestFit="1" customWidth="1"/>
    <col min="4361" max="4361" width="17.42578125" style="31" bestFit="1" customWidth="1"/>
    <col min="4362" max="4362" width="18.42578125" style="31" bestFit="1" customWidth="1"/>
    <col min="4363" max="4363" width="19.5703125" style="31" bestFit="1" customWidth="1"/>
    <col min="4364" max="4606" width="9.140625" style="31"/>
    <col min="4607" max="4607" width="15.140625" style="31" customWidth="1"/>
    <col min="4608" max="4608" width="15.140625" style="31" bestFit="1" customWidth="1"/>
    <col min="4609" max="4610" width="18.5703125" style="31" bestFit="1" customWidth="1"/>
    <col min="4611" max="4611" width="16.42578125" style="31" bestFit="1" customWidth="1"/>
    <col min="4612" max="4612" width="13.5703125" style="31" bestFit="1" customWidth="1"/>
    <col min="4613" max="4613" width="17.5703125" style="31" bestFit="1" customWidth="1"/>
    <col min="4614" max="4614" width="17.42578125" style="31" bestFit="1" customWidth="1"/>
    <col min="4615" max="4615" width="22.5703125" style="31" bestFit="1" customWidth="1"/>
    <col min="4616" max="4616" width="15.85546875" style="31" bestFit="1" customWidth="1"/>
    <col min="4617" max="4617" width="17.42578125" style="31" bestFit="1" customWidth="1"/>
    <col min="4618" max="4618" width="18.42578125" style="31" bestFit="1" customWidth="1"/>
    <col min="4619" max="4619" width="19.5703125" style="31" bestFit="1" customWidth="1"/>
    <col min="4620" max="4862" width="9.140625" style="31"/>
    <col min="4863" max="4863" width="15.140625" style="31" customWidth="1"/>
    <col min="4864" max="4864" width="15.140625" style="31" bestFit="1" customWidth="1"/>
    <col min="4865" max="4866" width="18.5703125" style="31" bestFit="1" customWidth="1"/>
    <col min="4867" max="4867" width="16.42578125" style="31" bestFit="1" customWidth="1"/>
    <col min="4868" max="4868" width="13.5703125" style="31" bestFit="1" customWidth="1"/>
    <col min="4869" max="4869" width="17.5703125" style="31" bestFit="1" customWidth="1"/>
    <col min="4870" max="4870" width="17.42578125" style="31" bestFit="1" customWidth="1"/>
    <col min="4871" max="4871" width="22.5703125" style="31" bestFit="1" customWidth="1"/>
    <col min="4872" max="4872" width="15.85546875" style="31" bestFit="1" customWidth="1"/>
    <col min="4873" max="4873" width="17.42578125" style="31" bestFit="1" customWidth="1"/>
    <col min="4874" max="4874" width="18.42578125" style="31" bestFit="1" customWidth="1"/>
    <col min="4875" max="4875" width="19.5703125" style="31" bestFit="1" customWidth="1"/>
    <col min="4876" max="5118" width="9.140625" style="31"/>
    <col min="5119" max="5119" width="15.140625" style="31" customWidth="1"/>
    <col min="5120" max="5120" width="15.140625" style="31" bestFit="1" customWidth="1"/>
    <col min="5121" max="5122" width="18.5703125" style="31" bestFit="1" customWidth="1"/>
    <col min="5123" max="5123" width="16.42578125" style="31" bestFit="1" customWidth="1"/>
    <col min="5124" max="5124" width="13.5703125" style="31" bestFit="1" customWidth="1"/>
    <col min="5125" max="5125" width="17.5703125" style="31" bestFit="1" customWidth="1"/>
    <col min="5126" max="5126" width="17.42578125" style="31" bestFit="1" customWidth="1"/>
    <col min="5127" max="5127" width="22.5703125" style="31" bestFit="1" customWidth="1"/>
    <col min="5128" max="5128" width="15.85546875" style="31" bestFit="1" customWidth="1"/>
    <col min="5129" max="5129" width="17.42578125" style="31" bestFit="1" customWidth="1"/>
    <col min="5130" max="5130" width="18.42578125" style="31" bestFit="1" customWidth="1"/>
    <col min="5131" max="5131" width="19.5703125" style="31" bestFit="1" customWidth="1"/>
    <col min="5132" max="5374" width="9.140625" style="31"/>
    <col min="5375" max="5375" width="15.140625" style="31" customWidth="1"/>
    <col min="5376" max="5376" width="15.140625" style="31" bestFit="1" customWidth="1"/>
    <col min="5377" max="5378" width="18.5703125" style="31" bestFit="1" customWidth="1"/>
    <col min="5379" max="5379" width="16.42578125" style="31" bestFit="1" customWidth="1"/>
    <col min="5380" max="5380" width="13.5703125" style="31" bestFit="1" customWidth="1"/>
    <col min="5381" max="5381" width="17.5703125" style="31" bestFit="1" customWidth="1"/>
    <col min="5382" max="5382" width="17.42578125" style="31" bestFit="1" customWidth="1"/>
    <col min="5383" max="5383" width="22.5703125" style="31" bestFit="1" customWidth="1"/>
    <col min="5384" max="5384" width="15.85546875" style="31" bestFit="1" customWidth="1"/>
    <col min="5385" max="5385" width="17.42578125" style="31" bestFit="1" customWidth="1"/>
    <col min="5386" max="5386" width="18.42578125" style="31" bestFit="1" customWidth="1"/>
    <col min="5387" max="5387" width="19.5703125" style="31" bestFit="1" customWidth="1"/>
    <col min="5388" max="5630" width="9.140625" style="31"/>
    <col min="5631" max="5631" width="15.140625" style="31" customWidth="1"/>
    <col min="5632" max="5632" width="15.140625" style="31" bestFit="1" customWidth="1"/>
    <col min="5633" max="5634" width="18.5703125" style="31" bestFit="1" customWidth="1"/>
    <col min="5635" max="5635" width="16.42578125" style="31" bestFit="1" customWidth="1"/>
    <col min="5636" max="5636" width="13.5703125" style="31" bestFit="1" customWidth="1"/>
    <col min="5637" max="5637" width="17.5703125" style="31" bestFit="1" customWidth="1"/>
    <col min="5638" max="5638" width="17.42578125" style="31" bestFit="1" customWidth="1"/>
    <col min="5639" max="5639" width="22.5703125" style="31" bestFit="1" customWidth="1"/>
    <col min="5640" max="5640" width="15.85546875" style="31" bestFit="1" customWidth="1"/>
    <col min="5641" max="5641" width="17.42578125" style="31" bestFit="1" customWidth="1"/>
    <col min="5642" max="5642" width="18.42578125" style="31" bestFit="1" customWidth="1"/>
    <col min="5643" max="5643" width="19.5703125" style="31" bestFit="1" customWidth="1"/>
    <col min="5644" max="5886" width="9.140625" style="31"/>
    <col min="5887" max="5887" width="15.140625" style="31" customWidth="1"/>
    <col min="5888" max="5888" width="15.140625" style="31" bestFit="1" customWidth="1"/>
    <col min="5889" max="5890" width="18.5703125" style="31" bestFit="1" customWidth="1"/>
    <col min="5891" max="5891" width="16.42578125" style="31" bestFit="1" customWidth="1"/>
    <col min="5892" max="5892" width="13.5703125" style="31" bestFit="1" customWidth="1"/>
    <col min="5893" max="5893" width="17.5703125" style="31" bestFit="1" customWidth="1"/>
    <col min="5894" max="5894" width="17.42578125" style="31" bestFit="1" customWidth="1"/>
    <col min="5895" max="5895" width="22.5703125" style="31" bestFit="1" customWidth="1"/>
    <col min="5896" max="5896" width="15.85546875" style="31" bestFit="1" customWidth="1"/>
    <col min="5897" max="5897" width="17.42578125" style="31" bestFit="1" customWidth="1"/>
    <col min="5898" max="5898" width="18.42578125" style="31" bestFit="1" customWidth="1"/>
    <col min="5899" max="5899" width="19.5703125" style="31" bestFit="1" customWidth="1"/>
    <col min="5900" max="6142" width="9.140625" style="31"/>
    <col min="6143" max="6143" width="15.140625" style="31" customWidth="1"/>
    <col min="6144" max="6144" width="15.140625" style="31" bestFit="1" customWidth="1"/>
    <col min="6145" max="6146" width="18.5703125" style="31" bestFit="1" customWidth="1"/>
    <col min="6147" max="6147" width="16.42578125" style="31" bestFit="1" customWidth="1"/>
    <col min="6148" max="6148" width="13.5703125" style="31" bestFit="1" customWidth="1"/>
    <col min="6149" max="6149" width="17.5703125" style="31" bestFit="1" customWidth="1"/>
    <col min="6150" max="6150" width="17.42578125" style="31" bestFit="1" customWidth="1"/>
    <col min="6151" max="6151" width="22.5703125" style="31" bestFit="1" customWidth="1"/>
    <col min="6152" max="6152" width="15.85546875" style="31" bestFit="1" customWidth="1"/>
    <col min="6153" max="6153" width="17.42578125" style="31" bestFit="1" customWidth="1"/>
    <col min="6154" max="6154" width="18.42578125" style="31" bestFit="1" customWidth="1"/>
    <col min="6155" max="6155" width="19.5703125" style="31" bestFit="1" customWidth="1"/>
    <col min="6156" max="6398" width="9.140625" style="31"/>
    <col min="6399" max="6399" width="15.140625" style="31" customWidth="1"/>
    <col min="6400" max="6400" width="15.140625" style="31" bestFit="1" customWidth="1"/>
    <col min="6401" max="6402" width="18.5703125" style="31" bestFit="1" customWidth="1"/>
    <col min="6403" max="6403" width="16.42578125" style="31" bestFit="1" customWidth="1"/>
    <col min="6404" max="6404" width="13.5703125" style="31" bestFit="1" customWidth="1"/>
    <col min="6405" max="6405" width="17.5703125" style="31" bestFit="1" customWidth="1"/>
    <col min="6406" max="6406" width="17.42578125" style="31" bestFit="1" customWidth="1"/>
    <col min="6407" max="6407" width="22.5703125" style="31" bestFit="1" customWidth="1"/>
    <col min="6408" max="6408" width="15.85546875" style="31" bestFit="1" customWidth="1"/>
    <col min="6409" max="6409" width="17.42578125" style="31" bestFit="1" customWidth="1"/>
    <col min="6410" max="6410" width="18.42578125" style="31" bestFit="1" customWidth="1"/>
    <col min="6411" max="6411" width="19.5703125" style="31" bestFit="1" customWidth="1"/>
    <col min="6412" max="6654" width="9.140625" style="31"/>
    <col min="6655" max="6655" width="15.140625" style="31" customWidth="1"/>
    <col min="6656" max="6656" width="15.140625" style="31" bestFit="1" customWidth="1"/>
    <col min="6657" max="6658" width="18.5703125" style="31" bestFit="1" customWidth="1"/>
    <col min="6659" max="6659" width="16.42578125" style="31" bestFit="1" customWidth="1"/>
    <col min="6660" max="6660" width="13.5703125" style="31" bestFit="1" customWidth="1"/>
    <col min="6661" max="6661" width="17.5703125" style="31" bestFit="1" customWidth="1"/>
    <col min="6662" max="6662" width="17.42578125" style="31" bestFit="1" customWidth="1"/>
    <col min="6663" max="6663" width="22.5703125" style="31" bestFit="1" customWidth="1"/>
    <col min="6664" max="6664" width="15.85546875" style="31" bestFit="1" customWidth="1"/>
    <col min="6665" max="6665" width="17.42578125" style="31" bestFit="1" customWidth="1"/>
    <col min="6666" max="6666" width="18.42578125" style="31" bestFit="1" customWidth="1"/>
    <col min="6667" max="6667" width="19.5703125" style="31" bestFit="1" customWidth="1"/>
    <col min="6668" max="6910" width="9.140625" style="31"/>
    <col min="6911" max="6911" width="15.140625" style="31" customWidth="1"/>
    <col min="6912" max="6912" width="15.140625" style="31" bestFit="1" customWidth="1"/>
    <col min="6913" max="6914" width="18.5703125" style="31" bestFit="1" customWidth="1"/>
    <col min="6915" max="6915" width="16.42578125" style="31" bestFit="1" customWidth="1"/>
    <col min="6916" max="6916" width="13.5703125" style="31" bestFit="1" customWidth="1"/>
    <col min="6917" max="6917" width="17.5703125" style="31" bestFit="1" customWidth="1"/>
    <col min="6918" max="6918" width="17.42578125" style="31" bestFit="1" customWidth="1"/>
    <col min="6919" max="6919" width="22.5703125" style="31" bestFit="1" customWidth="1"/>
    <col min="6920" max="6920" width="15.85546875" style="31" bestFit="1" customWidth="1"/>
    <col min="6921" max="6921" width="17.42578125" style="31" bestFit="1" customWidth="1"/>
    <col min="6922" max="6922" width="18.42578125" style="31" bestFit="1" customWidth="1"/>
    <col min="6923" max="6923" width="19.5703125" style="31" bestFit="1" customWidth="1"/>
    <col min="6924" max="7166" width="9.140625" style="31"/>
    <col min="7167" max="7167" width="15.140625" style="31" customWidth="1"/>
    <col min="7168" max="7168" width="15.140625" style="31" bestFit="1" customWidth="1"/>
    <col min="7169" max="7170" width="18.5703125" style="31" bestFit="1" customWidth="1"/>
    <col min="7171" max="7171" width="16.42578125" style="31" bestFit="1" customWidth="1"/>
    <col min="7172" max="7172" width="13.5703125" style="31" bestFit="1" customWidth="1"/>
    <col min="7173" max="7173" width="17.5703125" style="31" bestFit="1" customWidth="1"/>
    <col min="7174" max="7174" width="17.42578125" style="31" bestFit="1" customWidth="1"/>
    <col min="7175" max="7175" width="22.5703125" style="31" bestFit="1" customWidth="1"/>
    <col min="7176" max="7176" width="15.85546875" style="31" bestFit="1" customWidth="1"/>
    <col min="7177" max="7177" width="17.42578125" style="31" bestFit="1" customWidth="1"/>
    <col min="7178" max="7178" width="18.42578125" style="31" bestFit="1" customWidth="1"/>
    <col min="7179" max="7179" width="19.5703125" style="31" bestFit="1" customWidth="1"/>
    <col min="7180" max="7422" width="9.140625" style="31"/>
    <col min="7423" max="7423" width="15.140625" style="31" customWidth="1"/>
    <col min="7424" max="7424" width="15.140625" style="31" bestFit="1" customWidth="1"/>
    <col min="7425" max="7426" width="18.5703125" style="31" bestFit="1" customWidth="1"/>
    <col min="7427" max="7427" width="16.42578125" style="31" bestFit="1" customWidth="1"/>
    <col min="7428" max="7428" width="13.5703125" style="31" bestFit="1" customWidth="1"/>
    <col min="7429" max="7429" width="17.5703125" style="31" bestFit="1" customWidth="1"/>
    <col min="7430" max="7430" width="17.42578125" style="31" bestFit="1" customWidth="1"/>
    <col min="7431" max="7431" width="22.5703125" style="31" bestFit="1" customWidth="1"/>
    <col min="7432" max="7432" width="15.85546875" style="31" bestFit="1" customWidth="1"/>
    <col min="7433" max="7433" width="17.42578125" style="31" bestFit="1" customWidth="1"/>
    <col min="7434" max="7434" width="18.42578125" style="31" bestFit="1" customWidth="1"/>
    <col min="7435" max="7435" width="19.5703125" style="31" bestFit="1" customWidth="1"/>
    <col min="7436" max="7678" width="9.140625" style="31"/>
    <col min="7679" max="7679" width="15.140625" style="31" customWidth="1"/>
    <col min="7680" max="7680" width="15.140625" style="31" bestFit="1" customWidth="1"/>
    <col min="7681" max="7682" width="18.5703125" style="31" bestFit="1" customWidth="1"/>
    <col min="7683" max="7683" width="16.42578125" style="31" bestFit="1" customWidth="1"/>
    <col min="7684" max="7684" width="13.5703125" style="31" bestFit="1" customWidth="1"/>
    <col min="7685" max="7685" width="17.5703125" style="31" bestFit="1" customWidth="1"/>
    <col min="7686" max="7686" width="17.42578125" style="31" bestFit="1" customWidth="1"/>
    <col min="7687" max="7687" width="22.5703125" style="31" bestFit="1" customWidth="1"/>
    <col min="7688" max="7688" width="15.85546875" style="31" bestFit="1" customWidth="1"/>
    <col min="7689" max="7689" width="17.42578125" style="31" bestFit="1" customWidth="1"/>
    <col min="7690" max="7690" width="18.42578125" style="31" bestFit="1" customWidth="1"/>
    <col min="7691" max="7691" width="19.5703125" style="31" bestFit="1" customWidth="1"/>
    <col min="7692" max="7934" width="9.140625" style="31"/>
    <col min="7935" max="7935" width="15.140625" style="31" customWidth="1"/>
    <col min="7936" max="7936" width="15.140625" style="31" bestFit="1" customWidth="1"/>
    <col min="7937" max="7938" width="18.5703125" style="31" bestFit="1" customWidth="1"/>
    <col min="7939" max="7939" width="16.42578125" style="31" bestFit="1" customWidth="1"/>
    <col min="7940" max="7940" width="13.5703125" style="31" bestFit="1" customWidth="1"/>
    <col min="7941" max="7941" width="17.5703125" style="31" bestFit="1" customWidth="1"/>
    <col min="7942" max="7942" width="17.42578125" style="31" bestFit="1" customWidth="1"/>
    <col min="7943" max="7943" width="22.5703125" style="31" bestFit="1" customWidth="1"/>
    <col min="7944" max="7944" width="15.85546875" style="31" bestFit="1" customWidth="1"/>
    <col min="7945" max="7945" width="17.42578125" style="31" bestFit="1" customWidth="1"/>
    <col min="7946" max="7946" width="18.42578125" style="31" bestFit="1" customWidth="1"/>
    <col min="7947" max="7947" width="19.5703125" style="31" bestFit="1" customWidth="1"/>
    <col min="7948" max="8190" width="9.140625" style="31"/>
    <col min="8191" max="8191" width="15.140625" style="31" customWidth="1"/>
    <col min="8192" max="8192" width="15.140625" style="31" bestFit="1" customWidth="1"/>
    <col min="8193" max="8194" width="18.5703125" style="31" bestFit="1" customWidth="1"/>
    <col min="8195" max="8195" width="16.42578125" style="31" bestFit="1" customWidth="1"/>
    <col min="8196" max="8196" width="13.5703125" style="31" bestFit="1" customWidth="1"/>
    <col min="8197" max="8197" width="17.5703125" style="31" bestFit="1" customWidth="1"/>
    <col min="8198" max="8198" width="17.42578125" style="31" bestFit="1" customWidth="1"/>
    <col min="8199" max="8199" width="22.5703125" style="31" bestFit="1" customWidth="1"/>
    <col min="8200" max="8200" width="15.85546875" style="31" bestFit="1" customWidth="1"/>
    <col min="8201" max="8201" width="17.42578125" style="31" bestFit="1" customWidth="1"/>
    <col min="8202" max="8202" width="18.42578125" style="31" bestFit="1" customWidth="1"/>
    <col min="8203" max="8203" width="19.5703125" style="31" bestFit="1" customWidth="1"/>
    <col min="8204" max="8446" width="9.140625" style="31"/>
    <col min="8447" max="8447" width="15.140625" style="31" customWidth="1"/>
    <col min="8448" max="8448" width="15.140625" style="31" bestFit="1" customWidth="1"/>
    <col min="8449" max="8450" width="18.5703125" style="31" bestFit="1" customWidth="1"/>
    <col min="8451" max="8451" width="16.42578125" style="31" bestFit="1" customWidth="1"/>
    <col min="8452" max="8452" width="13.5703125" style="31" bestFit="1" customWidth="1"/>
    <col min="8453" max="8453" width="17.5703125" style="31" bestFit="1" customWidth="1"/>
    <col min="8454" max="8454" width="17.42578125" style="31" bestFit="1" customWidth="1"/>
    <col min="8455" max="8455" width="22.5703125" style="31" bestFit="1" customWidth="1"/>
    <col min="8456" max="8456" width="15.85546875" style="31" bestFit="1" customWidth="1"/>
    <col min="8457" max="8457" width="17.42578125" style="31" bestFit="1" customWidth="1"/>
    <col min="8458" max="8458" width="18.42578125" style="31" bestFit="1" customWidth="1"/>
    <col min="8459" max="8459" width="19.5703125" style="31" bestFit="1" customWidth="1"/>
    <col min="8460" max="8702" width="9.140625" style="31"/>
    <col min="8703" max="8703" width="15.140625" style="31" customWidth="1"/>
    <col min="8704" max="8704" width="15.140625" style="31" bestFit="1" customWidth="1"/>
    <col min="8705" max="8706" width="18.5703125" style="31" bestFit="1" customWidth="1"/>
    <col min="8707" max="8707" width="16.42578125" style="31" bestFit="1" customWidth="1"/>
    <col min="8708" max="8708" width="13.5703125" style="31" bestFit="1" customWidth="1"/>
    <col min="8709" max="8709" width="17.5703125" style="31" bestFit="1" customWidth="1"/>
    <col min="8710" max="8710" width="17.42578125" style="31" bestFit="1" customWidth="1"/>
    <col min="8711" max="8711" width="22.5703125" style="31" bestFit="1" customWidth="1"/>
    <col min="8712" max="8712" width="15.85546875" style="31" bestFit="1" customWidth="1"/>
    <col min="8713" max="8713" width="17.42578125" style="31" bestFit="1" customWidth="1"/>
    <col min="8714" max="8714" width="18.42578125" style="31" bestFit="1" customWidth="1"/>
    <col min="8715" max="8715" width="19.5703125" style="31" bestFit="1" customWidth="1"/>
    <col min="8716" max="8958" width="9.140625" style="31"/>
    <col min="8959" max="8959" width="15.140625" style="31" customWidth="1"/>
    <col min="8960" max="8960" width="15.140625" style="31" bestFit="1" customWidth="1"/>
    <col min="8961" max="8962" width="18.5703125" style="31" bestFit="1" customWidth="1"/>
    <col min="8963" max="8963" width="16.42578125" style="31" bestFit="1" customWidth="1"/>
    <col min="8964" max="8964" width="13.5703125" style="31" bestFit="1" customWidth="1"/>
    <col min="8965" max="8965" width="17.5703125" style="31" bestFit="1" customWidth="1"/>
    <col min="8966" max="8966" width="17.42578125" style="31" bestFit="1" customWidth="1"/>
    <col min="8967" max="8967" width="22.5703125" style="31" bestFit="1" customWidth="1"/>
    <col min="8968" max="8968" width="15.85546875" style="31" bestFit="1" customWidth="1"/>
    <col min="8969" max="8969" width="17.42578125" style="31" bestFit="1" customWidth="1"/>
    <col min="8970" max="8970" width="18.42578125" style="31" bestFit="1" customWidth="1"/>
    <col min="8971" max="8971" width="19.5703125" style="31" bestFit="1" customWidth="1"/>
    <col min="8972" max="9214" width="9.140625" style="31"/>
    <col min="9215" max="9215" width="15.140625" style="31" customWidth="1"/>
    <col min="9216" max="9216" width="15.140625" style="31" bestFit="1" customWidth="1"/>
    <col min="9217" max="9218" width="18.5703125" style="31" bestFit="1" customWidth="1"/>
    <col min="9219" max="9219" width="16.42578125" style="31" bestFit="1" customWidth="1"/>
    <col min="9220" max="9220" width="13.5703125" style="31" bestFit="1" customWidth="1"/>
    <col min="9221" max="9221" width="17.5703125" style="31" bestFit="1" customWidth="1"/>
    <col min="9222" max="9222" width="17.42578125" style="31" bestFit="1" customWidth="1"/>
    <col min="9223" max="9223" width="22.5703125" style="31" bestFit="1" customWidth="1"/>
    <col min="9224" max="9224" width="15.85546875" style="31" bestFit="1" customWidth="1"/>
    <col min="9225" max="9225" width="17.42578125" style="31" bestFit="1" customWidth="1"/>
    <col min="9226" max="9226" width="18.42578125" style="31" bestFit="1" customWidth="1"/>
    <col min="9227" max="9227" width="19.5703125" style="31" bestFit="1" customWidth="1"/>
    <col min="9228" max="9470" width="9.140625" style="31"/>
    <col min="9471" max="9471" width="15.140625" style="31" customWidth="1"/>
    <col min="9472" max="9472" width="15.140625" style="31" bestFit="1" customWidth="1"/>
    <col min="9473" max="9474" width="18.5703125" style="31" bestFit="1" customWidth="1"/>
    <col min="9475" max="9475" width="16.42578125" style="31" bestFit="1" customWidth="1"/>
    <col min="9476" max="9476" width="13.5703125" style="31" bestFit="1" customWidth="1"/>
    <col min="9477" max="9477" width="17.5703125" style="31" bestFit="1" customWidth="1"/>
    <col min="9478" max="9478" width="17.42578125" style="31" bestFit="1" customWidth="1"/>
    <col min="9479" max="9479" width="22.5703125" style="31" bestFit="1" customWidth="1"/>
    <col min="9480" max="9480" width="15.85546875" style="31" bestFit="1" customWidth="1"/>
    <col min="9481" max="9481" width="17.42578125" style="31" bestFit="1" customWidth="1"/>
    <col min="9482" max="9482" width="18.42578125" style="31" bestFit="1" customWidth="1"/>
    <col min="9483" max="9483" width="19.5703125" style="31" bestFit="1" customWidth="1"/>
    <col min="9484" max="9726" width="9.140625" style="31"/>
    <col min="9727" max="9727" width="15.140625" style="31" customWidth="1"/>
    <col min="9728" max="9728" width="15.140625" style="31" bestFit="1" customWidth="1"/>
    <col min="9729" max="9730" width="18.5703125" style="31" bestFit="1" customWidth="1"/>
    <col min="9731" max="9731" width="16.42578125" style="31" bestFit="1" customWidth="1"/>
    <col min="9732" max="9732" width="13.5703125" style="31" bestFit="1" customWidth="1"/>
    <col min="9733" max="9733" width="17.5703125" style="31" bestFit="1" customWidth="1"/>
    <col min="9734" max="9734" width="17.42578125" style="31" bestFit="1" customWidth="1"/>
    <col min="9735" max="9735" width="22.5703125" style="31" bestFit="1" customWidth="1"/>
    <col min="9736" max="9736" width="15.85546875" style="31" bestFit="1" customWidth="1"/>
    <col min="9737" max="9737" width="17.42578125" style="31" bestFit="1" customWidth="1"/>
    <col min="9738" max="9738" width="18.42578125" style="31" bestFit="1" customWidth="1"/>
    <col min="9739" max="9739" width="19.5703125" style="31" bestFit="1" customWidth="1"/>
    <col min="9740" max="9982" width="9.140625" style="31"/>
    <col min="9983" max="9983" width="15.140625" style="31" customWidth="1"/>
    <col min="9984" max="9984" width="15.140625" style="31" bestFit="1" customWidth="1"/>
    <col min="9985" max="9986" width="18.5703125" style="31" bestFit="1" customWidth="1"/>
    <col min="9987" max="9987" width="16.42578125" style="31" bestFit="1" customWidth="1"/>
    <col min="9988" max="9988" width="13.5703125" style="31" bestFit="1" customWidth="1"/>
    <col min="9989" max="9989" width="17.5703125" style="31" bestFit="1" customWidth="1"/>
    <col min="9990" max="9990" width="17.42578125" style="31" bestFit="1" customWidth="1"/>
    <col min="9991" max="9991" width="22.5703125" style="31" bestFit="1" customWidth="1"/>
    <col min="9992" max="9992" width="15.85546875" style="31" bestFit="1" customWidth="1"/>
    <col min="9993" max="9993" width="17.42578125" style="31" bestFit="1" customWidth="1"/>
    <col min="9994" max="9994" width="18.42578125" style="31" bestFit="1" customWidth="1"/>
    <col min="9995" max="9995" width="19.5703125" style="31" bestFit="1" customWidth="1"/>
    <col min="9996" max="10238" width="9.140625" style="31"/>
    <col min="10239" max="10239" width="15.140625" style="31" customWidth="1"/>
    <col min="10240" max="10240" width="15.140625" style="31" bestFit="1" customWidth="1"/>
    <col min="10241" max="10242" width="18.5703125" style="31" bestFit="1" customWidth="1"/>
    <col min="10243" max="10243" width="16.42578125" style="31" bestFit="1" customWidth="1"/>
    <col min="10244" max="10244" width="13.5703125" style="31" bestFit="1" customWidth="1"/>
    <col min="10245" max="10245" width="17.5703125" style="31" bestFit="1" customWidth="1"/>
    <col min="10246" max="10246" width="17.42578125" style="31" bestFit="1" customWidth="1"/>
    <col min="10247" max="10247" width="22.5703125" style="31" bestFit="1" customWidth="1"/>
    <col min="10248" max="10248" width="15.85546875" style="31" bestFit="1" customWidth="1"/>
    <col min="10249" max="10249" width="17.42578125" style="31" bestFit="1" customWidth="1"/>
    <col min="10250" max="10250" width="18.42578125" style="31" bestFit="1" customWidth="1"/>
    <col min="10251" max="10251" width="19.5703125" style="31" bestFit="1" customWidth="1"/>
    <col min="10252" max="10494" width="9.140625" style="31"/>
    <col min="10495" max="10495" width="15.140625" style="31" customWidth="1"/>
    <col min="10496" max="10496" width="15.140625" style="31" bestFit="1" customWidth="1"/>
    <col min="10497" max="10498" width="18.5703125" style="31" bestFit="1" customWidth="1"/>
    <col min="10499" max="10499" width="16.42578125" style="31" bestFit="1" customWidth="1"/>
    <col min="10500" max="10500" width="13.5703125" style="31" bestFit="1" customWidth="1"/>
    <col min="10501" max="10501" width="17.5703125" style="31" bestFit="1" customWidth="1"/>
    <col min="10502" max="10502" width="17.42578125" style="31" bestFit="1" customWidth="1"/>
    <col min="10503" max="10503" width="22.5703125" style="31" bestFit="1" customWidth="1"/>
    <col min="10504" max="10504" width="15.85546875" style="31" bestFit="1" customWidth="1"/>
    <col min="10505" max="10505" width="17.42578125" style="31" bestFit="1" customWidth="1"/>
    <col min="10506" max="10506" width="18.42578125" style="31" bestFit="1" customWidth="1"/>
    <col min="10507" max="10507" width="19.5703125" style="31" bestFit="1" customWidth="1"/>
    <col min="10508" max="10750" width="9.140625" style="31"/>
    <col min="10751" max="10751" width="15.140625" style="31" customWidth="1"/>
    <col min="10752" max="10752" width="15.140625" style="31" bestFit="1" customWidth="1"/>
    <col min="10753" max="10754" width="18.5703125" style="31" bestFit="1" customWidth="1"/>
    <col min="10755" max="10755" width="16.42578125" style="31" bestFit="1" customWidth="1"/>
    <col min="10756" max="10756" width="13.5703125" style="31" bestFit="1" customWidth="1"/>
    <col min="10757" max="10757" width="17.5703125" style="31" bestFit="1" customWidth="1"/>
    <col min="10758" max="10758" width="17.42578125" style="31" bestFit="1" customWidth="1"/>
    <col min="10759" max="10759" width="22.5703125" style="31" bestFit="1" customWidth="1"/>
    <col min="10760" max="10760" width="15.85546875" style="31" bestFit="1" customWidth="1"/>
    <col min="10761" max="10761" width="17.42578125" style="31" bestFit="1" customWidth="1"/>
    <col min="10762" max="10762" width="18.42578125" style="31" bestFit="1" customWidth="1"/>
    <col min="10763" max="10763" width="19.5703125" style="31" bestFit="1" customWidth="1"/>
    <col min="10764" max="11006" width="9.140625" style="31"/>
    <col min="11007" max="11007" width="15.140625" style="31" customWidth="1"/>
    <col min="11008" max="11008" width="15.140625" style="31" bestFit="1" customWidth="1"/>
    <col min="11009" max="11010" width="18.5703125" style="31" bestFit="1" customWidth="1"/>
    <col min="11011" max="11011" width="16.42578125" style="31" bestFit="1" customWidth="1"/>
    <col min="11012" max="11012" width="13.5703125" style="31" bestFit="1" customWidth="1"/>
    <col min="11013" max="11013" width="17.5703125" style="31" bestFit="1" customWidth="1"/>
    <col min="11014" max="11014" width="17.42578125" style="31" bestFit="1" customWidth="1"/>
    <col min="11015" max="11015" width="22.5703125" style="31" bestFit="1" customWidth="1"/>
    <col min="11016" max="11016" width="15.85546875" style="31" bestFit="1" customWidth="1"/>
    <col min="11017" max="11017" width="17.42578125" style="31" bestFit="1" customWidth="1"/>
    <col min="11018" max="11018" width="18.42578125" style="31" bestFit="1" customWidth="1"/>
    <col min="11019" max="11019" width="19.5703125" style="31" bestFit="1" customWidth="1"/>
    <col min="11020" max="11262" width="9.140625" style="31"/>
    <col min="11263" max="11263" width="15.140625" style="31" customWidth="1"/>
    <col min="11264" max="11264" width="15.140625" style="31" bestFit="1" customWidth="1"/>
    <col min="11265" max="11266" width="18.5703125" style="31" bestFit="1" customWidth="1"/>
    <col min="11267" max="11267" width="16.42578125" style="31" bestFit="1" customWidth="1"/>
    <col min="11268" max="11268" width="13.5703125" style="31" bestFit="1" customWidth="1"/>
    <col min="11269" max="11269" width="17.5703125" style="31" bestFit="1" customWidth="1"/>
    <col min="11270" max="11270" width="17.42578125" style="31" bestFit="1" customWidth="1"/>
    <col min="11271" max="11271" width="22.5703125" style="31" bestFit="1" customWidth="1"/>
    <col min="11272" max="11272" width="15.85546875" style="31" bestFit="1" customWidth="1"/>
    <col min="11273" max="11273" width="17.42578125" style="31" bestFit="1" customWidth="1"/>
    <col min="11274" max="11274" width="18.42578125" style="31" bestFit="1" customWidth="1"/>
    <col min="11275" max="11275" width="19.5703125" style="31" bestFit="1" customWidth="1"/>
    <col min="11276" max="11518" width="9.140625" style="31"/>
    <col min="11519" max="11519" width="15.140625" style="31" customWidth="1"/>
    <col min="11520" max="11520" width="15.140625" style="31" bestFit="1" customWidth="1"/>
    <col min="11521" max="11522" width="18.5703125" style="31" bestFit="1" customWidth="1"/>
    <col min="11523" max="11523" width="16.42578125" style="31" bestFit="1" customWidth="1"/>
    <col min="11524" max="11524" width="13.5703125" style="31" bestFit="1" customWidth="1"/>
    <col min="11525" max="11525" width="17.5703125" style="31" bestFit="1" customWidth="1"/>
    <col min="11526" max="11526" width="17.42578125" style="31" bestFit="1" customWidth="1"/>
    <col min="11527" max="11527" width="22.5703125" style="31" bestFit="1" customWidth="1"/>
    <col min="11528" max="11528" width="15.85546875" style="31" bestFit="1" customWidth="1"/>
    <col min="11529" max="11529" width="17.42578125" style="31" bestFit="1" customWidth="1"/>
    <col min="11530" max="11530" width="18.42578125" style="31" bestFit="1" customWidth="1"/>
    <col min="11531" max="11531" width="19.5703125" style="31" bestFit="1" customWidth="1"/>
    <col min="11532" max="11774" width="9.140625" style="31"/>
    <col min="11775" max="11775" width="15.140625" style="31" customWidth="1"/>
    <col min="11776" max="11776" width="15.140625" style="31" bestFit="1" customWidth="1"/>
    <col min="11777" max="11778" width="18.5703125" style="31" bestFit="1" customWidth="1"/>
    <col min="11779" max="11779" width="16.42578125" style="31" bestFit="1" customWidth="1"/>
    <col min="11780" max="11780" width="13.5703125" style="31" bestFit="1" customWidth="1"/>
    <col min="11781" max="11781" width="17.5703125" style="31" bestFit="1" customWidth="1"/>
    <col min="11782" max="11782" width="17.42578125" style="31" bestFit="1" customWidth="1"/>
    <col min="11783" max="11783" width="22.5703125" style="31" bestFit="1" customWidth="1"/>
    <col min="11784" max="11784" width="15.85546875" style="31" bestFit="1" customWidth="1"/>
    <col min="11785" max="11785" width="17.42578125" style="31" bestFit="1" customWidth="1"/>
    <col min="11786" max="11786" width="18.42578125" style="31" bestFit="1" customWidth="1"/>
    <col min="11787" max="11787" width="19.5703125" style="31" bestFit="1" customWidth="1"/>
    <col min="11788" max="12030" width="9.140625" style="31"/>
    <col min="12031" max="12031" width="15.140625" style="31" customWidth="1"/>
    <col min="12032" max="12032" width="15.140625" style="31" bestFit="1" customWidth="1"/>
    <col min="12033" max="12034" width="18.5703125" style="31" bestFit="1" customWidth="1"/>
    <col min="12035" max="12035" width="16.42578125" style="31" bestFit="1" customWidth="1"/>
    <col min="12036" max="12036" width="13.5703125" style="31" bestFit="1" customWidth="1"/>
    <col min="12037" max="12037" width="17.5703125" style="31" bestFit="1" customWidth="1"/>
    <col min="12038" max="12038" width="17.42578125" style="31" bestFit="1" customWidth="1"/>
    <col min="12039" max="12039" width="22.5703125" style="31" bestFit="1" customWidth="1"/>
    <col min="12040" max="12040" width="15.85546875" style="31" bestFit="1" customWidth="1"/>
    <col min="12041" max="12041" width="17.42578125" style="31" bestFit="1" customWidth="1"/>
    <col min="12042" max="12042" width="18.42578125" style="31" bestFit="1" customWidth="1"/>
    <col min="12043" max="12043" width="19.5703125" style="31" bestFit="1" customWidth="1"/>
    <col min="12044" max="12286" width="9.140625" style="31"/>
    <col min="12287" max="12287" width="15.140625" style="31" customWidth="1"/>
    <col min="12288" max="12288" width="15.140625" style="31" bestFit="1" customWidth="1"/>
    <col min="12289" max="12290" width="18.5703125" style="31" bestFit="1" customWidth="1"/>
    <col min="12291" max="12291" width="16.42578125" style="31" bestFit="1" customWidth="1"/>
    <col min="12292" max="12292" width="13.5703125" style="31" bestFit="1" customWidth="1"/>
    <col min="12293" max="12293" width="17.5703125" style="31" bestFit="1" customWidth="1"/>
    <col min="12294" max="12294" width="17.42578125" style="31" bestFit="1" customWidth="1"/>
    <col min="12295" max="12295" width="22.5703125" style="31" bestFit="1" customWidth="1"/>
    <col min="12296" max="12296" width="15.85546875" style="31" bestFit="1" customWidth="1"/>
    <col min="12297" max="12297" width="17.42578125" style="31" bestFit="1" customWidth="1"/>
    <col min="12298" max="12298" width="18.42578125" style="31" bestFit="1" customWidth="1"/>
    <col min="12299" max="12299" width="19.5703125" style="31" bestFit="1" customWidth="1"/>
    <col min="12300" max="12542" width="9.140625" style="31"/>
    <col min="12543" max="12543" width="15.140625" style="31" customWidth="1"/>
    <col min="12544" max="12544" width="15.140625" style="31" bestFit="1" customWidth="1"/>
    <col min="12545" max="12546" width="18.5703125" style="31" bestFit="1" customWidth="1"/>
    <col min="12547" max="12547" width="16.42578125" style="31" bestFit="1" customWidth="1"/>
    <col min="12548" max="12548" width="13.5703125" style="31" bestFit="1" customWidth="1"/>
    <col min="12549" max="12549" width="17.5703125" style="31" bestFit="1" customWidth="1"/>
    <col min="12550" max="12550" width="17.42578125" style="31" bestFit="1" customWidth="1"/>
    <col min="12551" max="12551" width="22.5703125" style="31" bestFit="1" customWidth="1"/>
    <col min="12552" max="12552" width="15.85546875" style="31" bestFit="1" customWidth="1"/>
    <col min="12553" max="12553" width="17.42578125" style="31" bestFit="1" customWidth="1"/>
    <col min="12554" max="12554" width="18.42578125" style="31" bestFit="1" customWidth="1"/>
    <col min="12555" max="12555" width="19.5703125" style="31" bestFit="1" customWidth="1"/>
    <col min="12556" max="12798" width="9.140625" style="31"/>
    <col min="12799" max="12799" width="15.140625" style="31" customWidth="1"/>
    <col min="12800" max="12800" width="15.140625" style="31" bestFit="1" customWidth="1"/>
    <col min="12801" max="12802" width="18.5703125" style="31" bestFit="1" customWidth="1"/>
    <col min="12803" max="12803" width="16.42578125" style="31" bestFit="1" customWidth="1"/>
    <col min="12804" max="12804" width="13.5703125" style="31" bestFit="1" customWidth="1"/>
    <col min="12805" max="12805" width="17.5703125" style="31" bestFit="1" customWidth="1"/>
    <col min="12806" max="12806" width="17.42578125" style="31" bestFit="1" customWidth="1"/>
    <col min="12807" max="12807" width="22.5703125" style="31" bestFit="1" customWidth="1"/>
    <col min="12808" max="12808" width="15.85546875" style="31" bestFit="1" customWidth="1"/>
    <col min="12809" max="12809" width="17.42578125" style="31" bestFit="1" customWidth="1"/>
    <col min="12810" max="12810" width="18.42578125" style="31" bestFit="1" customWidth="1"/>
    <col min="12811" max="12811" width="19.5703125" style="31" bestFit="1" customWidth="1"/>
    <col min="12812" max="13054" width="9.140625" style="31"/>
    <col min="13055" max="13055" width="15.140625" style="31" customWidth="1"/>
    <col min="13056" max="13056" width="15.140625" style="31" bestFit="1" customWidth="1"/>
    <col min="13057" max="13058" width="18.5703125" style="31" bestFit="1" customWidth="1"/>
    <col min="13059" max="13059" width="16.42578125" style="31" bestFit="1" customWidth="1"/>
    <col min="13060" max="13060" width="13.5703125" style="31" bestFit="1" customWidth="1"/>
    <col min="13061" max="13061" width="17.5703125" style="31" bestFit="1" customWidth="1"/>
    <col min="13062" max="13062" width="17.42578125" style="31" bestFit="1" customWidth="1"/>
    <col min="13063" max="13063" width="22.5703125" style="31" bestFit="1" customWidth="1"/>
    <col min="13064" max="13064" width="15.85546875" style="31" bestFit="1" customWidth="1"/>
    <col min="13065" max="13065" width="17.42578125" style="31" bestFit="1" customWidth="1"/>
    <col min="13066" max="13066" width="18.42578125" style="31" bestFit="1" customWidth="1"/>
    <col min="13067" max="13067" width="19.5703125" style="31" bestFit="1" customWidth="1"/>
    <col min="13068" max="13310" width="9.140625" style="31"/>
    <col min="13311" max="13311" width="15.140625" style="31" customWidth="1"/>
    <col min="13312" max="13312" width="15.140625" style="31" bestFit="1" customWidth="1"/>
    <col min="13313" max="13314" width="18.5703125" style="31" bestFit="1" customWidth="1"/>
    <col min="13315" max="13315" width="16.42578125" style="31" bestFit="1" customWidth="1"/>
    <col min="13316" max="13316" width="13.5703125" style="31" bestFit="1" customWidth="1"/>
    <col min="13317" max="13317" width="17.5703125" style="31" bestFit="1" customWidth="1"/>
    <col min="13318" max="13318" width="17.42578125" style="31" bestFit="1" customWidth="1"/>
    <col min="13319" max="13319" width="22.5703125" style="31" bestFit="1" customWidth="1"/>
    <col min="13320" max="13320" width="15.85546875" style="31" bestFit="1" customWidth="1"/>
    <col min="13321" max="13321" width="17.42578125" style="31" bestFit="1" customWidth="1"/>
    <col min="13322" max="13322" width="18.42578125" style="31" bestFit="1" customWidth="1"/>
    <col min="13323" max="13323" width="19.5703125" style="31" bestFit="1" customWidth="1"/>
    <col min="13324" max="13566" width="9.140625" style="31"/>
    <col min="13567" max="13567" width="15.140625" style="31" customWidth="1"/>
    <col min="13568" max="13568" width="15.140625" style="31" bestFit="1" customWidth="1"/>
    <col min="13569" max="13570" width="18.5703125" style="31" bestFit="1" customWidth="1"/>
    <col min="13571" max="13571" width="16.42578125" style="31" bestFit="1" customWidth="1"/>
    <col min="13572" max="13572" width="13.5703125" style="31" bestFit="1" customWidth="1"/>
    <col min="13573" max="13573" width="17.5703125" style="31" bestFit="1" customWidth="1"/>
    <col min="13574" max="13574" width="17.42578125" style="31" bestFit="1" customWidth="1"/>
    <col min="13575" max="13575" width="22.5703125" style="31" bestFit="1" customWidth="1"/>
    <col min="13576" max="13576" width="15.85546875" style="31" bestFit="1" customWidth="1"/>
    <col min="13577" max="13577" width="17.42578125" style="31" bestFit="1" customWidth="1"/>
    <col min="13578" max="13578" width="18.42578125" style="31" bestFit="1" customWidth="1"/>
    <col min="13579" max="13579" width="19.5703125" style="31" bestFit="1" customWidth="1"/>
    <col min="13580" max="13822" width="9.140625" style="31"/>
    <col min="13823" max="13823" width="15.140625" style="31" customWidth="1"/>
    <col min="13824" max="13824" width="15.140625" style="31" bestFit="1" customWidth="1"/>
    <col min="13825" max="13826" width="18.5703125" style="31" bestFit="1" customWidth="1"/>
    <col min="13827" max="13827" width="16.42578125" style="31" bestFit="1" customWidth="1"/>
    <col min="13828" max="13828" width="13.5703125" style="31" bestFit="1" customWidth="1"/>
    <col min="13829" max="13829" width="17.5703125" style="31" bestFit="1" customWidth="1"/>
    <col min="13830" max="13830" width="17.42578125" style="31" bestFit="1" customWidth="1"/>
    <col min="13831" max="13831" width="22.5703125" style="31" bestFit="1" customWidth="1"/>
    <col min="13832" max="13832" width="15.85546875" style="31" bestFit="1" customWidth="1"/>
    <col min="13833" max="13833" width="17.42578125" style="31" bestFit="1" customWidth="1"/>
    <col min="13834" max="13834" width="18.42578125" style="31" bestFit="1" customWidth="1"/>
    <col min="13835" max="13835" width="19.5703125" style="31" bestFit="1" customWidth="1"/>
    <col min="13836" max="14078" width="9.140625" style="31"/>
    <col min="14079" max="14079" width="15.140625" style="31" customWidth="1"/>
    <col min="14080" max="14080" width="15.140625" style="31" bestFit="1" customWidth="1"/>
    <col min="14081" max="14082" width="18.5703125" style="31" bestFit="1" customWidth="1"/>
    <col min="14083" max="14083" width="16.42578125" style="31" bestFit="1" customWidth="1"/>
    <col min="14084" max="14084" width="13.5703125" style="31" bestFit="1" customWidth="1"/>
    <col min="14085" max="14085" width="17.5703125" style="31" bestFit="1" customWidth="1"/>
    <col min="14086" max="14086" width="17.42578125" style="31" bestFit="1" customWidth="1"/>
    <col min="14087" max="14087" width="22.5703125" style="31" bestFit="1" customWidth="1"/>
    <col min="14088" max="14088" width="15.85546875" style="31" bestFit="1" customWidth="1"/>
    <col min="14089" max="14089" width="17.42578125" style="31" bestFit="1" customWidth="1"/>
    <col min="14090" max="14090" width="18.42578125" style="31" bestFit="1" customWidth="1"/>
    <col min="14091" max="14091" width="19.5703125" style="31" bestFit="1" customWidth="1"/>
    <col min="14092" max="14334" width="9.140625" style="31"/>
    <col min="14335" max="14335" width="15.140625" style="31" customWidth="1"/>
    <col min="14336" max="14336" width="15.140625" style="31" bestFit="1" customWidth="1"/>
    <col min="14337" max="14338" width="18.5703125" style="31" bestFit="1" customWidth="1"/>
    <col min="14339" max="14339" width="16.42578125" style="31" bestFit="1" customWidth="1"/>
    <col min="14340" max="14340" width="13.5703125" style="31" bestFit="1" customWidth="1"/>
    <col min="14341" max="14341" width="17.5703125" style="31" bestFit="1" customWidth="1"/>
    <col min="14342" max="14342" width="17.42578125" style="31" bestFit="1" customWidth="1"/>
    <col min="14343" max="14343" width="22.5703125" style="31" bestFit="1" customWidth="1"/>
    <col min="14344" max="14344" width="15.85546875" style="31" bestFit="1" customWidth="1"/>
    <col min="14345" max="14345" width="17.42578125" style="31" bestFit="1" customWidth="1"/>
    <col min="14346" max="14346" width="18.42578125" style="31" bestFit="1" customWidth="1"/>
    <col min="14347" max="14347" width="19.5703125" style="31" bestFit="1" customWidth="1"/>
    <col min="14348" max="14590" width="9.140625" style="31"/>
    <col min="14591" max="14591" width="15.140625" style="31" customWidth="1"/>
    <col min="14592" max="14592" width="15.140625" style="31" bestFit="1" customWidth="1"/>
    <col min="14593" max="14594" width="18.5703125" style="31" bestFit="1" customWidth="1"/>
    <col min="14595" max="14595" width="16.42578125" style="31" bestFit="1" customWidth="1"/>
    <col min="14596" max="14596" width="13.5703125" style="31" bestFit="1" customWidth="1"/>
    <col min="14597" max="14597" width="17.5703125" style="31" bestFit="1" customWidth="1"/>
    <col min="14598" max="14598" width="17.42578125" style="31" bestFit="1" customWidth="1"/>
    <col min="14599" max="14599" width="22.5703125" style="31" bestFit="1" customWidth="1"/>
    <col min="14600" max="14600" width="15.85546875" style="31" bestFit="1" customWidth="1"/>
    <col min="14601" max="14601" width="17.42578125" style="31" bestFit="1" customWidth="1"/>
    <col min="14602" max="14602" width="18.42578125" style="31" bestFit="1" customWidth="1"/>
    <col min="14603" max="14603" width="19.5703125" style="31" bestFit="1" customWidth="1"/>
    <col min="14604" max="14846" width="9.140625" style="31"/>
    <col min="14847" max="14847" width="15.140625" style="31" customWidth="1"/>
    <col min="14848" max="14848" width="15.140625" style="31" bestFit="1" customWidth="1"/>
    <col min="14849" max="14850" width="18.5703125" style="31" bestFit="1" customWidth="1"/>
    <col min="14851" max="14851" width="16.42578125" style="31" bestFit="1" customWidth="1"/>
    <col min="14852" max="14852" width="13.5703125" style="31" bestFit="1" customWidth="1"/>
    <col min="14853" max="14853" width="17.5703125" style="31" bestFit="1" customWidth="1"/>
    <col min="14854" max="14854" width="17.42578125" style="31" bestFit="1" customWidth="1"/>
    <col min="14855" max="14855" width="22.5703125" style="31" bestFit="1" customWidth="1"/>
    <col min="14856" max="14856" width="15.85546875" style="31" bestFit="1" customWidth="1"/>
    <col min="14857" max="14857" width="17.42578125" style="31" bestFit="1" customWidth="1"/>
    <col min="14858" max="14858" width="18.42578125" style="31" bestFit="1" customWidth="1"/>
    <col min="14859" max="14859" width="19.5703125" style="31" bestFit="1" customWidth="1"/>
    <col min="14860" max="15102" width="9.140625" style="31"/>
    <col min="15103" max="15103" width="15.140625" style="31" customWidth="1"/>
    <col min="15104" max="15104" width="15.140625" style="31" bestFit="1" customWidth="1"/>
    <col min="15105" max="15106" width="18.5703125" style="31" bestFit="1" customWidth="1"/>
    <col min="15107" max="15107" width="16.42578125" style="31" bestFit="1" customWidth="1"/>
    <col min="15108" max="15108" width="13.5703125" style="31" bestFit="1" customWidth="1"/>
    <col min="15109" max="15109" width="17.5703125" style="31" bestFit="1" customWidth="1"/>
    <col min="15110" max="15110" width="17.42578125" style="31" bestFit="1" customWidth="1"/>
    <col min="15111" max="15111" width="22.5703125" style="31" bestFit="1" customWidth="1"/>
    <col min="15112" max="15112" width="15.85546875" style="31" bestFit="1" customWidth="1"/>
    <col min="15113" max="15113" width="17.42578125" style="31" bestFit="1" customWidth="1"/>
    <col min="15114" max="15114" width="18.42578125" style="31" bestFit="1" customWidth="1"/>
    <col min="15115" max="15115" width="19.5703125" style="31" bestFit="1" customWidth="1"/>
    <col min="15116" max="15358" width="9.140625" style="31"/>
    <col min="15359" max="15359" width="15.140625" style="31" customWidth="1"/>
    <col min="15360" max="15360" width="15.140625" style="31" bestFit="1" customWidth="1"/>
    <col min="15361" max="15362" width="18.5703125" style="31" bestFit="1" customWidth="1"/>
    <col min="15363" max="15363" width="16.42578125" style="31" bestFit="1" customWidth="1"/>
    <col min="15364" max="15364" width="13.5703125" style="31" bestFit="1" customWidth="1"/>
    <col min="15365" max="15365" width="17.5703125" style="31" bestFit="1" customWidth="1"/>
    <col min="15366" max="15366" width="17.42578125" style="31" bestFit="1" customWidth="1"/>
    <col min="15367" max="15367" width="22.5703125" style="31" bestFit="1" customWidth="1"/>
    <col min="15368" max="15368" width="15.85546875" style="31" bestFit="1" customWidth="1"/>
    <col min="15369" max="15369" width="17.42578125" style="31" bestFit="1" customWidth="1"/>
    <col min="15370" max="15370" width="18.42578125" style="31" bestFit="1" customWidth="1"/>
    <col min="15371" max="15371" width="19.5703125" style="31" bestFit="1" customWidth="1"/>
    <col min="15372" max="15614" width="9.140625" style="31"/>
    <col min="15615" max="15615" width="15.140625" style="31" customWidth="1"/>
    <col min="15616" max="15616" width="15.140625" style="31" bestFit="1" customWidth="1"/>
    <col min="15617" max="15618" width="18.5703125" style="31" bestFit="1" customWidth="1"/>
    <col min="15619" max="15619" width="16.42578125" style="31" bestFit="1" customWidth="1"/>
    <col min="15620" max="15620" width="13.5703125" style="31" bestFit="1" customWidth="1"/>
    <col min="15621" max="15621" width="17.5703125" style="31" bestFit="1" customWidth="1"/>
    <col min="15622" max="15622" width="17.42578125" style="31" bestFit="1" customWidth="1"/>
    <col min="15623" max="15623" width="22.5703125" style="31" bestFit="1" customWidth="1"/>
    <col min="15624" max="15624" width="15.85546875" style="31" bestFit="1" customWidth="1"/>
    <col min="15625" max="15625" width="17.42578125" style="31" bestFit="1" customWidth="1"/>
    <col min="15626" max="15626" width="18.42578125" style="31" bestFit="1" customWidth="1"/>
    <col min="15627" max="15627" width="19.5703125" style="31" bestFit="1" customWidth="1"/>
    <col min="15628" max="15870" width="9.140625" style="31"/>
    <col min="15871" max="15871" width="15.140625" style="31" customWidth="1"/>
    <col min="15872" max="15872" width="15.140625" style="31" bestFit="1" customWidth="1"/>
    <col min="15873" max="15874" width="18.5703125" style="31" bestFit="1" customWidth="1"/>
    <col min="15875" max="15875" width="16.42578125" style="31" bestFit="1" customWidth="1"/>
    <col min="15876" max="15876" width="13.5703125" style="31" bestFit="1" customWidth="1"/>
    <col min="15877" max="15877" width="17.5703125" style="31" bestFit="1" customWidth="1"/>
    <col min="15878" max="15878" width="17.42578125" style="31" bestFit="1" customWidth="1"/>
    <col min="15879" max="15879" width="22.5703125" style="31" bestFit="1" customWidth="1"/>
    <col min="15880" max="15880" width="15.85546875" style="31" bestFit="1" customWidth="1"/>
    <col min="15881" max="15881" width="17.42578125" style="31" bestFit="1" customWidth="1"/>
    <col min="15882" max="15882" width="18.42578125" style="31" bestFit="1" customWidth="1"/>
    <col min="15883" max="15883" width="19.5703125" style="31" bestFit="1" customWidth="1"/>
    <col min="15884" max="16126" width="9.140625" style="31"/>
    <col min="16127" max="16127" width="15.140625" style="31" customWidth="1"/>
    <col min="16128" max="16128" width="15.140625" style="31" bestFit="1" customWidth="1"/>
    <col min="16129" max="16130" width="18.5703125" style="31" bestFit="1" customWidth="1"/>
    <col min="16131" max="16131" width="16.42578125" style="31" bestFit="1" customWidth="1"/>
    <col min="16132" max="16132" width="13.5703125" style="31" bestFit="1" customWidth="1"/>
    <col min="16133" max="16133" width="17.5703125" style="31" bestFit="1" customWidth="1"/>
    <col min="16134" max="16134" width="17.42578125" style="31" bestFit="1" customWidth="1"/>
    <col min="16135" max="16135" width="22.5703125" style="31" bestFit="1" customWidth="1"/>
    <col min="16136" max="16136" width="15.85546875" style="31" bestFit="1" customWidth="1"/>
    <col min="16137" max="16137" width="17.42578125" style="31" bestFit="1" customWidth="1"/>
    <col min="16138" max="16138" width="18.42578125" style="31" bestFit="1" customWidth="1"/>
    <col min="16139" max="16139" width="19.5703125" style="31" bestFit="1" customWidth="1"/>
    <col min="16140" max="16384" width="9.140625" style="31"/>
  </cols>
  <sheetData>
    <row r="1" spans="1:22" x14ac:dyDescent="0.2">
      <c r="A1" s="26" t="s">
        <v>232</v>
      </c>
      <c r="B1" s="26" t="s">
        <v>435</v>
      </c>
      <c r="C1" s="27" t="s">
        <v>436</v>
      </c>
      <c r="D1" s="27" t="s">
        <v>437</v>
      </c>
      <c r="E1" s="27" t="s">
        <v>438</v>
      </c>
      <c r="F1" s="28" t="s">
        <v>439</v>
      </c>
      <c r="G1" s="28" t="s">
        <v>440</v>
      </c>
      <c r="H1" s="29" t="s">
        <v>441</v>
      </c>
      <c r="I1" s="28" t="s">
        <v>442</v>
      </c>
      <c r="J1" s="28" t="s">
        <v>443</v>
      </c>
      <c r="K1" s="28" t="s">
        <v>444</v>
      </c>
      <c r="L1" s="28" t="s">
        <v>445</v>
      </c>
      <c r="M1" s="28" t="s">
        <v>446</v>
      </c>
      <c r="N1" s="30" t="s">
        <v>447</v>
      </c>
      <c r="O1" s="30" t="s">
        <v>448</v>
      </c>
      <c r="P1" s="30" t="s">
        <v>449</v>
      </c>
      <c r="Q1" s="30"/>
      <c r="U1" s="31" t="s">
        <v>496</v>
      </c>
      <c r="V1" s="31" t="s">
        <v>497</v>
      </c>
    </row>
    <row r="2" spans="1:22" s="30" customFormat="1" x14ac:dyDescent="0.2">
      <c r="A2" s="32" t="s">
        <v>234</v>
      </c>
      <c r="B2" s="32" t="s">
        <v>432</v>
      </c>
      <c r="C2" s="33">
        <v>1839</v>
      </c>
      <c r="D2" s="33">
        <v>134</v>
      </c>
      <c r="E2" s="33">
        <v>0</v>
      </c>
      <c r="F2" s="34">
        <v>0</v>
      </c>
      <c r="G2" s="34">
        <v>0</v>
      </c>
      <c r="H2" s="33">
        <v>0</v>
      </c>
      <c r="I2" s="35">
        <v>0</v>
      </c>
      <c r="J2" s="35">
        <v>135</v>
      </c>
      <c r="K2" s="35">
        <v>251</v>
      </c>
      <c r="L2" s="35">
        <v>1141</v>
      </c>
      <c r="M2" s="35">
        <v>1842</v>
      </c>
      <c r="N2" s="33">
        <f>ROUND(C2+G2+H2+(E2*2*0.08),1)</f>
        <v>1839</v>
      </c>
      <c r="O2" s="31">
        <v>4</v>
      </c>
      <c r="P2" s="35">
        <f t="shared" ref="P2:P48" si="0">K2+O2</f>
        <v>255</v>
      </c>
      <c r="Q2" s="36"/>
      <c r="U2" s="30" t="s">
        <v>432</v>
      </c>
      <c r="V2" s="30" t="s">
        <v>498</v>
      </c>
    </row>
    <row r="3" spans="1:22" s="30" customFormat="1" x14ac:dyDescent="0.2">
      <c r="A3" s="32" t="s">
        <v>234</v>
      </c>
      <c r="B3" s="37" t="s">
        <v>450</v>
      </c>
      <c r="C3" s="33">
        <v>0</v>
      </c>
      <c r="D3" s="33">
        <v>0</v>
      </c>
      <c r="E3" s="33">
        <v>0</v>
      </c>
      <c r="F3" s="34">
        <v>0</v>
      </c>
      <c r="G3" s="34">
        <v>0</v>
      </c>
      <c r="H3" s="33">
        <v>0</v>
      </c>
      <c r="I3" s="33">
        <v>5.5</v>
      </c>
      <c r="J3" s="35">
        <v>0</v>
      </c>
      <c r="K3" s="35">
        <v>0</v>
      </c>
      <c r="L3" s="35">
        <v>0</v>
      </c>
      <c r="M3" s="35">
        <v>0</v>
      </c>
      <c r="N3" s="33">
        <f t="shared" ref="N3:N48" si="1">ROUND(C3+G3+H3+(E3*2*0.08),1)</f>
        <v>0</v>
      </c>
      <c r="O3" s="31">
        <v>0</v>
      </c>
      <c r="P3" s="35">
        <f t="shared" si="0"/>
        <v>0</v>
      </c>
      <c r="Q3" s="36"/>
      <c r="U3" s="30" t="s">
        <v>433</v>
      </c>
      <c r="V3" s="30" t="s">
        <v>499</v>
      </c>
    </row>
    <row r="4" spans="1:22" x14ac:dyDescent="0.2">
      <c r="A4" s="32" t="s">
        <v>234</v>
      </c>
      <c r="B4" s="32" t="s">
        <v>433</v>
      </c>
      <c r="C4" s="33">
        <v>873</v>
      </c>
      <c r="D4" s="33">
        <v>130.5</v>
      </c>
      <c r="E4" s="33">
        <v>1.5</v>
      </c>
      <c r="F4" s="34">
        <v>0</v>
      </c>
      <c r="G4" s="34">
        <v>0</v>
      </c>
      <c r="H4" s="33">
        <v>0</v>
      </c>
      <c r="I4" s="35">
        <v>0</v>
      </c>
      <c r="J4" s="35">
        <v>218</v>
      </c>
      <c r="K4" s="35">
        <v>251</v>
      </c>
      <c r="L4" s="35">
        <v>751</v>
      </c>
      <c r="M4" s="35">
        <v>883</v>
      </c>
      <c r="N4" s="33">
        <f t="shared" si="1"/>
        <v>873.2</v>
      </c>
      <c r="O4" s="31">
        <v>3</v>
      </c>
      <c r="P4" s="35">
        <f t="shared" si="0"/>
        <v>254</v>
      </c>
      <c r="Q4" s="36"/>
      <c r="U4" s="31" t="s">
        <v>434</v>
      </c>
      <c r="V4" s="31" t="s">
        <v>500</v>
      </c>
    </row>
    <row r="5" spans="1:22" x14ac:dyDescent="0.2">
      <c r="A5" s="32" t="s">
        <v>234</v>
      </c>
      <c r="B5" s="32" t="s">
        <v>451</v>
      </c>
      <c r="C5" s="33">
        <v>0</v>
      </c>
      <c r="D5" s="33">
        <v>0</v>
      </c>
      <c r="E5" s="33">
        <v>0</v>
      </c>
      <c r="F5" s="34">
        <v>0</v>
      </c>
      <c r="G5" s="34">
        <v>0</v>
      </c>
      <c r="H5" s="33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3">
        <f t="shared" si="1"/>
        <v>0</v>
      </c>
      <c r="O5" s="31">
        <v>10</v>
      </c>
      <c r="P5" s="35">
        <f t="shared" si="0"/>
        <v>10</v>
      </c>
      <c r="Q5" s="36"/>
      <c r="U5" s="31" t="s">
        <v>460</v>
      </c>
      <c r="V5" s="31" t="s">
        <v>501</v>
      </c>
    </row>
    <row r="6" spans="1:22" x14ac:dyDescent="0.2">
      <c r="A6" s="32" t="s">
        <v>234</v>
      </c>
      <c r="B6" s="32" t="s">
        <v>452</v>
      </c>
      <c r="C6" s="33">
        <v>0</v>
      </c>
      <c r="D6" s="33">
        <v>0</v>
      </c>
      <c r="E6" s="33">
        <v>0</v>
      </c>
      <c r="F6" s="34">
        <v>0</v>
      </c>
      <c r="G6" s="34">
        <v>0</v>
      </c>
      <c r="H6" s="33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3">
        <f t="shared" si="1"/>
        <v>0</v>
      </c>
      <c r="O6" s="31">
        <v>0</v>
      </c>
      <c r="P6" s="35">
        <f t="shared" si="0"/>
        <v>0</v>
      </c>
      <c r="Q6" s="36"/>
      <c r="U6" s="31" t="s">
        <v>462</v>
      </c>
      <c r="V6" s="31" t="s">
        <v>502</v>
      </c>
    </row>
    <row r="7" spans="1:22" x14ac:dyDescent="0.2">
      <c r="A7" s="32" t="s">
        <v>234</v>
      </c>
      <c r="B7" s="32" t="s">
        <v>453</v>
      </c>
      <c r="C7" s="33">
        <v>2016.5</v>
      </c>
      <c r="D7" s="33">
        <v>120</v>
      </c>
      <c r="E7" s="33">
        <v>0</v>
      </c>
      <c r="F7" s="34">
        <v>0</v>
      </c>
      <c r="G7" s="34">
        <v>0</v>
      </c>
      <c r="H7" s="33">
        <v>0</v>
      </c>
      <c r="I7" s="35">
        <v>0</v>
      </c>
      <c r="J7" s="35">
        <v>765</v>
      </c>
      <c r="K7" s="35">
        <v>1117</v>
      </c>
      <c r="L7" s="35">
        <v>1355</v>
      </c>
      <c r="M7" s="35">
        <v>2018</v>
      </c>
      <c r="N7" s="33">
        <f t="shared" si="1"/>
        <v>2016.5</v>
      </c>
      <c r="O7" s="31">
        <v>5</v>
      </c>
      <c r="P7" s="35">
        <f t="shared" si="0"/>
        <v>1122</v>
      </c>
      <c r="Q7" s="36"/>
      <c r="U7" s="31" t="s">
        <v>463</v>
      </c>
      <c r="V7" s="31" t="s">
        <v>503</v>
      </c>
    </row>
    <row r="8" spans="1:22" x14ac:dyDescent="0.2">
      <c r="A8" s="32" t="s">
        <v>235</v>
      </c>
      <c r="B8" s="32" t="s">
        <v>454</v>
      </c>
      <c r="C8" s="33">
        <v>426</v>
      </c>
      <c r="D8" s="33">
        <v>67</v>
      </c>
      <c r="E8" s="33">
        <v>0</v>
      </c>
      <c r="F8" s="34">
        <v>0</v>
      </c>
      <c r="G8" s="34">
        <v>14</v>
      </c>
      <c r="H8" s="33">
        <v>0.5</v>
      </c>
      <c r="I8" s="35">
        <v>0</v>
      </c>
      <c r="J8" s="35">
        <v>206</v>
      </c>
      <c r="K8" s="35">
        <v>237</v>
      </c>
      <c r="L8" s="35">
        <v>359</v>
      </c>
      <c r="M8" s="35">
        <v>426</v>
      </c>
      <c r="N8" s="33">
        <f t="shared" si="1"/>
        <v>440.5</v>
      </c>
      <c r="O8" s="31">
        <v>1</v>
      </c>
      <c r="P8" s="35">
        <f t="shared" si="0"/>
        <v>238</v>
      </c>
      <c r="Q8" s="36"/>
      <c r="U8" s="31" t="s">
        <v>495</v>
      </c>
      <c r="V8" s="31" t="s">
        <v>504</v>
      </c>
    </row>
    <row r="9" spans="1:22" x14ac:dyDescent="0.2">
      <c r="A9" s="32" t="s">
        <v>235</v>
      </c>
      <c r="B9" s="32" t="s">
        <v>455</v>
      </c>
      <c r="C9" s="33">
        <v>123</v>
      </c>
      <c r="D9" s="33">
        <v>0</v>
      </c>
      <c r="E9" s="33">
        <v>0</v>
      </c>
      <c r="F9" s="34">
        <v>0</v>
      </c>
      <c r="G9" s="34">
        <v>0</v>
      </c>
      <c r="H9" s="33">
        <v>0</v>
      </c>
      <c r="I9" s="35">
        <v>0</v>
      </c>
      <c r="J9" s="35">
        <v>0</v>
      </c>
      <c r="K9" s="35">
        <v>72</v>
      </c>
      <c r="L9" s="35">
        <v>0</v>
      </c>
      <c r="M9" s="35">
        <v>123</v>
      </c>
      <c r="N9" s="33">
        <f t="shared" si="1"/>
        <v>123</v>
      </c>
      <c r="O9" s="31">
        <v>0</v>
      </c>
      <c r="P9" s="35">
        <f t="shared" si="0"/>
        <v>72</v>
      </c>
      <c r="Q9" s="36"/>
      <c r="U9" s="31" t="s">
        <v>469</v>
      </c>
      <c r="V9" s="31" t="s">
        <v>505</v>
      </c>
    </row>
    <row r="10" spans="1:22" x14ac:dyDescent="0.2">
      <c r="A10" s="32" t="s">
        <v>235</v>
      </c>
      <c r="B10" s="32" t="s">
        <v>456</v>
      </c>
      <c r="C10" s="33">
        <v>204</v>
      </c>
      <c r="D10" s="33">
        <v>0</v>
      </c>
      <c r="E10" s="33">
        <v>0</v>
      </c>
      <c r="F10" s="34">
        <v>0</v>
      </c>
      <c r="G10" s="34">
        <v>0</v>
      </c>
      <c r="H10" s="33">
        <v>0</v>
      </c>
      <c r="I10" s="35">
        <v>0</v>
      </c>
      <c r="J10" s="35">
        <v>128</v>
      </c>
      <c r="K10" s="35">
        <v>128</v>
      </c>
      <c r="L10" s="35">
        <v>204</v>
      </c>
      <c r="M10" s="35">
        <v>204</v>
      </c>
      <c r="N10" s="33">
        <f t="shared" si="1"/>
        <v>204</v>
      </c>
      <c r="O10" s="31">
        <v>1</v>
      </c>
      <c r="P10" s="35">
        <f t="shared" si="0"/>
        <v>129</v>
      </c>
      <c r="Q10" s="36"/>
      <c r="U10" s="31" t="s">
        <v>470</v>
      </c>
      <c r="V10" s="31" t="s">
        <v>506</v>
      </c>
    </row>
    <row r="11" spans="1:22" x14ac:dyDescent="0.2">
      <c r="A11" s="32" t="s">
        <v>236</v>
      </c>
      <c r="B11" s="32" t="s">
        <v>457</v>
      </c>
      <c r="C11" s="33">
        <v>660</v>
      </c>
      <c r="D11" s="33">
        <v>74</v>
      </c>
      <c r="E11" s="33">
        <v>0</v>
      </c>
      <c r="F11" s="34">
        <v>0</v>
      </c>
      <c r="G11" s="34">
        <v>45</v>
      </c>
      <c r="H11" s="33">
        <v>0</v>
      </c>
      <c r="I11" s="35">
        <v>0</v>
      </c>
      <c r="J11" s="35">
        <v>245</v>
      </c>
      <c r="K11" s="35">
        <v>275</v>
      </c>
      <c r="L11" s="35">
        <v>587</v>
      </c>
      <c r="M11" s="35">
        <v>662</v>
      </c>
      <c r="N11" s="33">
        <f t="shared" si="1"/>
        <v>705</v>
      </c>
      <c r="O11" s="31">
        <v>1</v>
      </c>
      <c r="P11" s="35">
        <f t="shared" si="0"/>
        <v>276</v>
      </c>
      <c r="Q11" s="36"/>
      <c r="U11" s="31" t="s">
        <v>471</v>
      </c>
      <c r="V11" s="31" t="s">
        <v>507</v>
      </c>
    </row>
    <row r="12" spans="1:22" s="41" customFormat="1" ht="15" x14ac:dyDescent="0.25">
      <c r="A12" s="37" t="s">
        <v>239</v>
      </c>
      <c r="B12" s="37" t="s">
        <v>343</v>
      </c>
      <c r="C12" s="38">
        <v>469</v>
      </c>
      <c r="D12" s="38">
        <v>54</v>
      </c>
      <c r="E12" s="33">
        <v>0</v>
      </c>
      <c r="F12" s="39">
        <v>0</v>
      </c>
      <c r="G12" s="39">
        <v>0</v>
      </c>
      <c r="H12" s="38">
        <v>0</v>
      </c>
      <c r="I12" s="40">
        <v>0</v>
      </c>
      <c r="J12" s="40">
        <v>136</v>
      </c>
      <c r="K12" s="40">
        <v>157</v>
      </c>
      <c r="L12" s="40">
        <v>415</v>
      </c>
      <c r="M12" s="40">
        <v>469</v>
      </c>
      <c r="N12" s="33">
        <f t="shared" si="1"/>
        <v>469</v>
      </c>
      <c r="O12" s="31">
        <v>2</v>
      </c>
      <c r="P12" s="40">
        <f t="shared" si="0"/>
        <v>159</v>
      </c>
      <c r="Q12" s="36"/>
      <c r="S12" s="42"/>
      <c r="U12" s="41" t="s">
        <v>472</v>
      </c>
      <c r="V12" s="41" t="s">
        <v>508</v>
      </c>
    </row>
    <row r="13" spans="1:22" s="41" customFormat="1" ht="15" x14ac:dyDescent="0.25">
      <c r="A13" s="37" t="s">
        <v>239</v>
      </c>
      <c r="B13" s="37" t="s">
        <v>458</v>
      </c>
      <c r="C13" s="38">
        <v>335</v>
      </c>
      <c r="D13" s="38">
        <v>0</v>
      </c>
      <c r="E13" s="33">
        <v>0</v>
      </c>
      <c r="F13" s="39">
        <v>0</v>
      </c>
      <c r="G13" s="39">
        <v>0</v>
      </c>
      <c r="H13" s="38">
        <v>0</v>
      </c>
      <c r="I13" s="40">
        <v>0</v>
      </c>
      <c r="J13" s="40">
        <v>87</v>
      </c>
      <c r="K13" s="40">
        <v>162</v>
      </c>
      <c r="L13" s="40">
        <v>146</v>
      </c>
      <c r="M13" s="40">
        <v>335</v>
      </c>
      <c r="N13" s="33">
        <f t="shared" si="1"/>
        <v>335</v>
      </c>
      <c r="O13" s="31">
        <v>3</v>
      </c>
      <c r="P13" s="40">
        <f t="shared" si="0"/>
        <v>165</v>
      </c>
      <c r="Q13" s="36"/>
      <c r="S13" s="42"/>
      <c r="U13" s="41" t="s">
        <v>473</v>
      </c>
      <c r="V13" s="41" t="s">
        <v>509</v>
      </c>
    </row>
    <row r="14" spans="1:22" s="41" customFormat="1" ht="15" x14ac:dyDescent="0.25">
      <c r="A14" s="37" t="s">
        <v>239</v>
      </c>
      <c r="B14" s="37" t="s">
        <v>459</v>
      </c>
      <c r="C14" s="38">
        <v>257</v>
      </c>
      <c r="D14" s="38">
        <v>14</v>
      </c>
      <c r="E14" s="33">
        <v>0</v>
      </c>
      <c r="F14" s="39">
        <v>0</v>
      </c>
      <c r="G14" s="39">
        <v>0</v>
      </c>
      <c r="H14" s="38">
        <v>0</v>
      </c>
      <c r="I14" s="40">
        <v>0</v>
      </c>
      <c r="J14" s="40">
        <v>154</v>
      </c>
      <c r="K14" s="40">
        <v>164</v>
      </c>
      <c r="L14" s="40">
        <v>245</v>
      </c>
      <c r="M14" s="40">
        <v>261</v>
      </c>
      <c r="N14" s="33">
        <f t="shared" si="1"/>
        <v>257</v>
      </c>
      <c r="O14" s="31">
        <v>2</v>
      </c>
      <c r="P14" s="40">
        <f t="shared" si="0"/>
        <v>166</v>
      </c>
      <c r="Q14" s="36"/>
      <c r="S14" s="42"/>
      <c r="U14" s="41" t="s">
        <v>474</v>
      </c>
      <c r="V14" s="41" t="s">
        <v>510</v>
      </c>
    </row>
    <row r="15" spans="1:22" s="41" customFormat="1" ht="15" x14ac:dyDescent="0.25">
      <c r="A15" s="37" t="s">
        <v>247</v>
      </c>
      <c r="B15" s="37" t="s">
        <v>460</v>
      </c>
      <c r="C15" s="38">
        <v>342.5</v>
      </c>
      <c r="D15" s="38">
        <v>0</v>
      </c>
      <c r="E15" s="33">
        <v>0</v>
      </c>
      <c r="F15" s="39">
        <v>0</v>
      </c>
      <c r="G15" s="39">
        <v>0</v>
      </c>
      <c r="H15" s="38">
        <v>0</v>
      </c>
      <c r="I15" s="40">
        <v>0</v>
      </c>
      <c r="J15" s="40">
        <v>0</v>
      </c>
      <c r="K15" s="40">
        <v>156</v>
      </c>
      <c r="L15" s="40">
        <v>0</v>
      </c>
      <c r="M15" s="40">
        <v>343</v>
      </c>
      <c r="N15" s="33">
        <f t="shared" si="1"/>
        <v>342.5</v>
      </c>
      <c r="O15" s="31">
        <v>2</v>
      </c>
      <c r="P15" s="40">
        <f t="shared" si="0"/>
        <v>158</v>
      </c>
      <c r="Q15" s="36"/>
      <c r="S15" s="42"/>
      <c r="U15" s="41" t="s">
        <v>475</v>
      </c>
      <c r="V15" s="41" t="s">
        <v>511</v>
      </c>
    </row>
    <row r="16" spans="1:22" s="41" customFormat="1" ht="15" x14ac:dyDescent="0.25">
      <c r="A16" s="37" t="s">
        <v>247</v>
      </c>
      <c r="B16" s="37" t="s">
        <v>461</v>
      </c>
      <c r="C16" s="38">
        <v>0</v>
      </c>
      <c r="D16" s="38">
        <v>0</v>
      </c>
      <c r="E16" s="33">
        <v>0</v>
      </c>
      <c r="F16" s="39">
        <v>0</v>
      </c>
      <c r="G16" s="39">
        <v>7</v>
      </c>
      <c r="H16" s="38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33">
        <f t="shared" si="1"/>
        <v>7</v>
      </c>
      <c r="O16" s="31">
        <v>0</v>
      </c>
      <c r="P16" s="40">
        <f t="shared" si="0"/>
        <v>0</v>
      </c>
      <c r="Q16" s="36"/>
      <c r="S16" s="42"/>
      <c r="U16" s="41" t="s">
        <v>478</v>
      </c>
      <c r="V16" s="41" t="s">
        <v>512</v>
      </c>
    </row>
    <row r="17" spans="1:22" s="41" customFormat="1" ht="15" x14ac:dyDescent="0.25">
      <c r="A17" s="37" t="s">
        <v>247</v>
      </c>
      <c r="B17" s="37" t="s">
        <v>462</v>
      </c>
      <c r="C17" s="38">
        <v>272</v>
      </c>
      <c r="D17" s="38">
        <v>52</v>
      </c>
      <c r="E17" s="33">
        <v>0</v>
      </c>
      <c r="F17" s="39">
        <v>0</v>
      </c>
      <c r="G17" s="39">
        <v>32.5</v>
      </c>
      <c r="H17" s="38">
        <v>3.5</v>
      </c>
      <c r="I17" s="38">
        <v>0</v>
      </c>
      <c r="J17" s="40">
        <v>113</v>
      </c>
      <c r="K17" s="40">
        <v>135</v>
      </c>
      <c r="L17" s="40">
        <v>221</v>
      </c>
      <c r="M17" s="40">
        <v>273</v>
      </c>
      <c r="N17" s="33">
        <f t="shared" si="1"/>
        <v>308</v>
      </c>
      <c r="O17" s="31">
        <v>0</v>
      </c>
      <c r="P17" s="40">
        <f t="shared" si="0"/>
        <v>135</v>
      </c>
      <c r="Q17" s="36"/>
      <c r="S17" s="42"/>
      <c r="U17" s="41" t="s">
        <v>476</v>
      </c>
      <c r="V17" s="41" t="s">
        <v>513</v>
      </c>
    </row>
    <row r="18" spans="1:22" s="41" customFormat="1" ht="15" x14ac:dyDescent="0.25">
      <c r="A18" s="37" t="s">
        <v>247</v>
      </c>
      <c r="B18" s="37" t="s">
        <v>463</v>
      </c>
      <c r="C18" s="38">
        <v>278</v>
      </c>
      <c r="D18" s="38">
        <v>0</v>
      </c>
      <c r="E18" s="33">
        <v>0</v>
      </c>
      <c r="F18" s="39">
        <v>0</v>
      </c>
      <c r="G18" s="39">
        <v>0</v>
      </c>
      <c r="H18" s="38">
        <v>0</v>
      </c>
      <c r="I18" s="38">
        <v>0</v>
      </c>
      <c r="J18" s="40">
        <v>0</v>
      </c>
      <c r="K18" s="40">
        <v>153</v>
      </c>
      <c r="L18" s="40">
        <v>0</v>
      </c>
      <c r="M18" s="40">
        <v>285</v>
      </c>
      <c r="N18" s="33">
        <f t="shared" si="1"/>
        <v>278</v>
      </c>
      <c r="O18" s="31">
        <v>16</v>
      </c>
      <c r="P18" s="40">
        <f t="shared" si="0"/>
        <v>169</v>
      </c>
      <c r="Q18" s="36"/>
      <c r="S18" s="42"/>
      <c r="U18" s="41" t="s">
        <v>477</v>
      </c>
      <c r="V18" s="41" t="s">
        <v>514</v>
      </c>
    </row>
    <row r="19" spans="1:22" s="41" customFormat="1" ht="15" x14ac:dyDescent="0.25">
      <c r="A19" s="37" t="s">
        <v>247</v>
      </c>
      <c r="B19" s="37" t="s">
        <v>464</v>
      </c>
      <c r="C19" s="38">
        <v>90</v>
      </c>
      <c r="D19" s="38">
        <v>0</v>
      </c>
      <c r="E19" s="33">
        <v>0</v>
      </c>
      <c r="F19" s="39">
        <v>0</v>
      </c>
      <c r="G19" s="39">
        <v>0</v>
      </c>
      <c r="H19" s="38">
        <v>0</v>
      </c>
      <c r="I19" s="40">
        <v>0</v>
      </c>
      <c r="J19" s="40">
        <v>0</v>
      </c>
      <c r="K19" s="40">
        <v>82</v>
      </c>
      <c r="L19" s="40">
        <v>0</v>
      </c>
      <c r="M19" s="40">
        <v>98</v>
      </c>
      <c r="N19" s="33">
        <f t="shared" si="1"/>
        <v>90</v>
      </c>
      <c r="O19" s="31">
        <v>2</v>
      </c>
      <c r="P19" s="40">
        <f t="shared" si="0"/>
        <v>84</v>
      </c>
      <c r="Q19" s="36"/>
      <c r="S19" s="42"/>
      <c r="U19" s="41" t="s">
        <v>494</v>
      </c>
      <c r="V19" s="41" t="s">
        <v>515</v>
      </c>
    </row>
    <row r="20" spans="1:22" ht="15" x14ac:dyDescent="0.25">
      <c r="A20" s="32" t="s">
        <v>260</v>
      </c>
      <c r="B20" s="32" t="s">
        <v>465</v>
      </c>
      <c r="C20" s="33">
        <v>86</v>
      </c>
      <c r="D20" s="33">
        <v>9</v>
      </c>
      <c r="E20" s="33">
        <v>0</v>
      </c>
      <c r="F20" s="34">
        <v>0</v>
      </c>
      <c r="G20" s="34">
        <v>0</v>
      </c>
      <c r="H20" s="33">
        <v>0</v>
      </c>
      <c r="I20" s="35">
        <v>0</v>
      </c>
      <c r="J20" s="35">
        <v>8</v>
      </c>
      <c r="K20" s="35">
        <v>10</v>
      </c>
      <c r="L20" s="35">
        <v>77</v>
      </c>
      <c r="M20" s="35">
        <v>86</v>
      </c>
      <c r="N20" s="33">
        <f t="shared" si="1"/>
        <v>86</v>
      </c>
      <c r="O20" s="31">
        <v>0</v>
      </c>
      <c r="P20" s="35">
        <f t="shared" si="0"/>
        <v>10</v>
      </c>
      <c r="Q20" s="36"/>
      <c r="S20" s="43"/>
      <c r="U20" s="31" t="s">
        <v>457</v>
      </c>
      <c r="V20" s="31" t="s">
        <v>516</v>
      </c>
    </row>
    <row r="21" spans="1:22" s="41" customFormat="1" ht="15" x14ac:dyDescent="0.25">
      <c r="A21" s="37" t="s">
        <v>274</v>
      </c>
      <c r="B21" s="37" t="s">
        <v>466</v>
      </c>
      <c r="C21" s="38">
        <v>631</v>
      </c>
      <c r="D21" s="38">
        <v>0</v>
      </c>
      <c r="E21" s="33">
        <v>0</v>
      </c>
      <c r="F21" s="39">
        <v>0</v>
      </c>
      <c r="G21" s="39">
        <v>0</v>
      </c>
      <c r="H21" s="38">
        <v>0</v>
      </c>
      <c r="I21" s="38">
        <v>0</v>
      </c>
      <c r="J21" s="40">
        <v>0</v>
      </c>
      <c r="K21" s="40">
        <v>16</v>
      </c>
      <c r="L21" s="40">
        <v>0</v>
      </c>
      <c r="M21" s="40">
        <v>651</v>
      </c>
      <c r="N21" s="33">
        <f t="shared" si="1"/>
        <v>631</v>
      </c>
      <c r="O21" s="31">
        <v>0</v>
      </c>
      <c r="P21" s="40">
        <f t="shared" si="0"/>
        <v>16</v>
      </c>
      <c r="Q21" s="36"/>
      <c r="S21" s="42"/>
      <c r="U21" s="41" t="s">
        <v>466</v>
      </c>
      <c r="V21" s="41" t="s">
        <v>517</v>
      </c>
    </row>
    <row r="22" spans="1:22" ht="13.5" customHeight="1" x14ac:dyDescent="0.25">
      <c r="A22" s="32" t="s">
        <v>275</v>
      </c>
      <c r="B22" s="32" t="s">
        <v>467</v>
      </c>
      <c r="C22" s="33">
        <v>321</v>
      </c>
      <c r="D22" s="33">
        <v>29</v>
      </c>
      <c r="E22" s="33">
        <v>0</v>
      </c>
      <c r="F22" s="34">
        <v>0</v>
      </c>
      <c r="G22" s="34">
        <v>0</v>
      </c>
      <c r="H22" s="33">
        <v>0</v>
      </c>
      <c r="I22" s="35">
        <v>0</v>
      </c>
      <c r="J22" s="35">
        <v>22</v>
      </c>
      <c r="K22" s="35">
        <v>22</v>
      </c>
      <c r="L22" s="35">
        <v>292</v>
      </c>
      <c r="M22" s="35">
        <v>321</v>
      </c>
      <c r="N22" s="33">
        <f t="shared" si="1"/>
        <v>321</v>
      </c>
      <c r="O22" s="31">
        <v>3</v>
      </c>
      <c r="P22" s="35">
        <f t="shared" si="0"/>
        <v>25</v>
      </c>
      <c r="Q22" s="36"/>
      <c r="S22" s="43"/>
      <c r="U22" s="31" t="s">
        <v>483</v>
      </c>
      <c r="V22" s="31" t="s">
        <v>518</v>
      </c>
    </row>
    <row r="23" spans="1:22" s="41" customFormat="1" ht="15" x14ac:dyDescent="0.25">
      <c r="A23" s="37" t="s">
        <v>281</v>
      </c>
      <c r="B23" s="37" t="s">
        <v>468</v>
      </c>
      <c r="C23" s="38">
        <v>0</v>
      </c>
      <c r="D23" s="38">
        <v>0</v>
      </c>
      <c r="E23" s="33">
        <v>0</v>
      </c>
      <c r="F23" s="39">
        <v>0</v>
      </c>
      <c r="G23" s="39">
        <v>0</v>
      </c>
      <c r="H23" s="38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33">
        <f t="shared" si="1"/>
        <v>0</v>
      </c>
      <c r="O23" s="31">
        <v>0</v>
      </c>
      <c r="P23" s="40">
        <f t="shared" si="0"/>
        <v>0</v>
      </c>
      <c r="Q23" s="36"/>
      <c r="S23" s="42"/>
      <c r="U23" s="41" t="s">
        <v>484</v>
      </c>
      <c r="V23" s="41" t="s">
        <v>519</v>
      </c>
    </row>
    <row r="24" spans="1:22" s="41" customFormat="1" ht="15" x14ac:dyDescent="0.25">
      <c r="A24" s="37" t="s">
        <v>285</v>
      </c>
      <c r="B24" s="44" t="s">
        <v>469</v>
      </c>
      <c r="C24" s="38">
        <v>220</v>
      </c>
      <c r="D24" s="38">
        <v>43</v>
      </c>
      <c r="E24" s="33">
        <v>0</v>
      </c>
      <c r="F24" s="39">
        <v>0</v>
      </c>
      <c r="G24" s="39">
        <v>0</v>
      </c>
      <c r="H24" s="38">
        <v>0</v>
      </c>
      <c r="I24" s="40">
        <v>-1</v>
      </c>
      <c r="J24" s="40">
        <v>109</v>
      </c>
      <c r="K24" s="40">
        <v>135</v>
      </c>
      <c r="L24" s="40">
        <v>180</v>
      </c>
      <c r="M24" s="40">
        <v>226</v>
      </c>
      <c r="N24" s="33">
        <f t="shared" si="1"/>
        <v>220</v>
      </c>
      <c r="O24" s="31">
        <v>0</v>
      </c>
      <c r="P24" s="40">
        <f t="shared" si="0"/>
        <v>135</v>
      </c>
      <c r="Q24" s="36"/>
      <c r="S24" s="42"/>
      <c r="U24" s="41" t="s">
        <v>467</v>
      </c>
      <c r="V24" s="41" t="s">
        <v>520</v>
      </c>
    </row>
    <row r="25" spans="1:22" s="41" customFormat="1" ht="15" x14ac:dyDescent="0.25">
      <c r="A25" s="37" t="s">
        <v>285</v>
      </c>
      <c r="B25" s="44" t="s">
        <v>470</v>
      </c>
      <c r="C25" s="38">
        <v>495.5</v>
      </c>
      <c r="D25" s="38">
        <v>39</v>
      </c>
      <c r="E25" s="33">
        <v>0</v>
      </c>
      <c r="F25" s="39">
        <v>0</v>
      </c>
      <c r="G25" s="39">
        <v>0</v>
      </c>
      <c r="H25" s="38">
        <v>0</v>
      </c>
      <c r="I25" s="40">
        <v>0</v>
      </c>
      <c r="J25" s="40">
        <v>126</v>
      </c>
      <c r="K25" s="40">
        <v>158</v>
      </c>
      <c r="L25" s="40">
        <v>401</v>
      </c>
      <c r="M25" s="40">
        <v>509</v>
      </c>
      <c r="N25" s="33">
        <f t="shared" si="1"/>
        <v>495.5</v>
      </c>
      <c r="O25" s="31">
        <v>1</v>
      </c>
      <c r="P25" s="40">
        <f t="shared" si="0"/>
        <v>159</v>
      </c>
      <c r="Q25" s="36"/>
      <c r="S25" s="42"/>
      <c r="U25" s="41" t="s">
        <v>481</v>
      </c>
      <c r="V25" s="41" t="s">
        <v>521</v>
      </c>
    </row>
    <row r="26" spans="1:22" s="41" customFormat="1" ht="15" x14ac:dyDescent="0.25">
      <c r="A26" s="37" t="s">
        <v>285</v>
      </c>
      <c r="B26" s="37" t="s">
        <v>471</v>
      </c>
      <c r="C26" s="38">
        <v>430</v>
      </c>
      <c r="D26" s="38">
        <v>38</v>
      </c>
      <c r="E26" s="33">
        <v>0</v>
      </c>
      <c r="F26" s="39">
        <v>0</v>
      </c>
      <c r="G26" s="39">
        <v>0</v>
      </c>
      <c r="H26" s="38">
        <v>0</v>
      </c>
      <c r="I26" s="40">
        <v>0</v>
      </c>
      <c r="J26" s="40">
        <v>83</v>
      </c>
      <c r="K26" s="40">
        <v>93</v>
      </c>
      <c r="L26" s="40">
        <v>392</v>
      </c>
      <c r="M26" s="40">
        <v>431</v>
      </c>
      <c r="N26" s="33">
        <f t="shared" si="1"/>
        <v>430</v>
      </c>
      <c r="O26" s="31">
        <v>2</v>
      </c>
      <c r="P26" s="40">
        <f t="shared" si="0"/>
        <v>95</v>
      </c>
      <c r="Q26" s="36"/>
      <c r="S26" s="42"/>
      <c r="U26" s="41" t="s">
        <v>482</v>
      </c>
      <c r="V26" s="41" t="s">
        <v>522</v>
      </c>
    </row>
    <row r="27" spans="1:22" s="41" customFormat="1" ht="15" x14ac:dyDescent="0.25">
      <c r="A27" s="37" t="s">
        <v>285</v>
      </c>
      <c r="B27" s="37" t="s">
        <v>472</v>
      </c>
      <c r="C27" s="38">
        <v>568.5</v>
      </c>
      <c r="D27" s="38">
        <v>0</v>
      </c>
      <c r="E27" s="33">
        <v>0</v>
      </c>
      <c r="F27" s="39">
        <v>0</v>
      </c>
      <c r="G27" s="39">
        <v>0</v>
      </c>
      <c r="H27" s="38">
        <v>0</v>
      </c>
      <c r="I27" s="40">
        <v>0</v>
      </c>
      <c r="J27" s="40">
        <v>0</v>
      </c>
      <c r="K27" s="40">
        <v>88</v>
      </c>
      <c r="L27" s="40">
        <v>0</v>
      </c>
      <c r="M27" s="40">
        <v>579</v>
      </c>
      <c r="N27" s="33">
        <f t="shared" si="1"/>
        <v>568.5</v>
      </c>
      <c r="O27" s="31">
        <v>2</v>
      </c>
      <c r="P27" s="40">
        <f t="shared" si="0"/>
        <v>90</v>
      </c>
      <c r="Q27" s="36"/>
      <c r="S27" s="42"/>
      <c r="U27" s="41" t="s">
        <v>491</v>
      </c>
      <c r="V27" s="41" t="s">
        <v>523</v>
      </c>
    </row>
    <row r="28" spans="1:22" s="41" customFormat="1" ht="15" x14ac:dyDescent="0.25">
      <c r="A28" s="37" t="s">
        <v>285</v>
      </c>
      <c r="B28" s="37" t="s">
        <v>473</v>
      </c>
      <c r="C28" s="38">
        <v>356</v>
      </c>
      <c r="D28" s="38">
        <v>55.5</v>
      </c>
      <c r="E28" s="33">
        <v>6.5</v>
      </c>
      <c r="F28" s="39">
        <v>0</v>
      </c>
      <c r="G28" s="39">
        <v>0</v>
      </c>
      <c r="H28" s="38">
        <v>0</v>
      </c>
      <c r="I28" s="40">
        <v>0</v>
      </c>
      <c r="J28" s="40">
        <v>92</v>
      </c>
      <c r="K28" s="40">
        <v>113</v>
      </c>
      <c r="L28" s="40">
        <v>319</v>
      </c>
      <c r="M28" s="40">
        <v>381</v>
      </c>
      <c r="N28" s="33">
        <f t="shared" si="1"/>
        <v>357</v>
      </c>
      <c r="O28" s="31">
        <v>0</v>
      </c>
      <c r="P28" s="40">
        <f t="shared" si="0"/>
        <v>113</v>
      </c>
      <c r="Q28" s="36"/>
      <c r="S28" s="42"/>
      <c r="U28" s="41" t="s">
        <v>492</v>
      </c>
      <c r="V28" s="41" t="s">
        <v>524</v>
      </c>
    </row>
    <row r="29" spans="1:22" s="41" customFormat="1" ht="15" x14ac:dyDescent="0.25">
      <c r="A29" s="37" t="s">
        <v>285</v>
      </c>
      <c r="B29" s="37" t="s">
        <v>474</v>
      </c>
      <c r="C29" s="38">
        <v>326</v>
      </c>
      <c r="D29" s="38">
        <v>51</v>
      </c>
      <c r="E29" s="33">
        <v>0</v>
      </c>
      <c r="F29" s="39">
        <v>0</v>
      </c>
      <c r="G29" s="39">
        <v>0</v>
      </c>
      <c r="H29" s="38">
        <v>0</v>
      </c>
      <c r="I29" s="40">
        <v>0</v>
      </c>
      <c r="J29" s="40">
        <v>99</v>
      </c>
      <c r="K29" s="40">
        <v>124</v>
      </c>
      <c r="L29" s="40">
        <v>275</v>
      </c>
      <c r="M29" s="40">
        <v>326</v>
      </c>
      <c r="N29" s="33">
        <f t="shared" si="1"/>
        <v>326</v>
      </c>
      <c r="O29" s="31">
        <v>1</v>
      </c>
      <c r="P29" s="40">
        <f t="shared" si="0"/>
        <v>125</v>
      </c>
      <c r="Q29" s="36"/>
      <c r="S29" s="42"/>
      <c r="U29" s="41" t="s">
        <v>488</v>
      </c>
      <c r="V29" s="41" t="s">
        <v>525</v>
      </c>
    </row>
    <row r="30" spans="1:22" s="41" customFormat="1" ht="15" x14ac:dyDescent="0.25">
      <c r="A30" s="37" t="s">
        <v>285</v>
      </c>
      <c r="B30" s="37" t="s">
        <v>475</v>
      </c>
      <c r="C30" s="38">
        <v>77</v>
      </c>
      <c r="D30" s="38">
        <v>0</v>
      </c>
      <c r="E30" s="33">
        <v>0</v>
      </c>
      <c r="F30" s="39">
        <v>0</v>
      </c>
      <c r="G30" s="39">
        <v>0</v>
      </c>
      <c r="H30" s="38">
        <v>0</v>
      </c>
      <c r="I30" s="40">
        <v>0</v>
      </c>
      <c r="J30" s="40">
        <v>0</v>
      </c>
      <c r="K30" s="40">
        <v>10</v>
      </c>
      <c r="L30" s="40">
        <v>0</v>
      </c>
      <c r="M30" s="40">
        <v>77</v>
      </c>
      <c r="N30" s="33">
        <f t="shared" si="1"/>
        <v>77</v>
      </c>
      <c r="O30" s="31">
        <v>0</v>
      </c>
      <c r="P30" s="40">
        <f t="shared" si="0"/>
        <v>10</v>
      </c>
      <c r="Q30" s="36"/>
      <c r="S30" s="42"/>
      <c r="U30" s="41" t="s">
        <v>489</v>
      </c>
      <c r="V30" s="41" t="s">
        <v>526</v>
      </c>
    </row>
    <row r="31" spans="1:22" s="41" customFormat="1" ht="15" x14ac:dyDescent="0.25">
      <c r="A31" s="37" t="s">
        <v>285</v>
      </c>
      <c r="B31" s="37" t="s">
        <v>476</v>
      </c>
      <c r="C31" s="38">
        <v>329.5</v>
      </c>
      <c r="D31" s="38">
        <v>51</v>
      </c>
      <c r="E31" s="33">
        <v>7</v>
      </c>
      <c r="F31" s="39">
        <v>0</v>
      </c>
      <c r="G31" s="39">
        <v>0</v>
      </c>
      <c r="H31" s="38">
        <v>0</v>
      </c>
      <c r="I31" s="40">
        <v>0</v>
      </c>
      <c r="J31" s="40">
        <v>79</v>
      </c>
      <c r="K31" s="40">
        <v>90</v>
      </c>
      <c r="L31" s="40">
        <v>312</v>
      </c>
      <c r="M31" s="40">
        <v>370</v>
      </c>
      <c r="N31" s="33">
        <f t="shared" si="1"/>
        <v>330.6</v>
      </c>
      <c r="O31" s="31">
        <v>1</v>
      </c>
      <c r="P31" s="40">
        <f t="shared" si="0"/>
        <v>91</v>
      </c>
      <c r="Q31" s="36"/>
      <c r="S31" s="42"/>
      <c r="U31" s="41" t="s">
        <v>485</v>
      </c>
      <c r="V31" s="41" t="s">
        <v>527</v>
      </c>
    </row>
    <row r="32" spans="1:22" s="41" customFormat="1" x14ac:dyDescent="0.2">
      <c r="A32" s="37" t="s">
        <v>285</v>
      </c>
      <c r="B32" s="37" t="s">
        <v>477</v>
      </c>
      <c r="C32" s="38">
        <v>850.5</v>
      </c>
      <c r="D32" s="38">
        <v>40.5</v>
      </c>
      <c r="E32" s="33">
        <v>16.5</v>
      </c>
      <c r="F32" s="39">
        <v>0</v>
      </c>
      <c r="G32" s="39">
        <v>0</v>
      </c>
      <c r="H32" s="38">
        <v>0</v>
      </c>
      <c r="I32" s="40">
        <v>0</v>
      </c>
      <c r="J32" s="40">
        <v>103</v>
      </c>
      <c r="K32" s="40">
        <v>136</v>
      </c>
      <c r="L32" s="40">
        <v>573</v>
      </c>
      <c r="M32" s="40">
        <v>867</v>
      </c>
      <c r="N32" s="33">
        <f t="shared" si="1"/>
        <v>853.1</v>
      </c>
      <c r="O32" s="31">
        <v>0</v>
      </c>
      <c r="P32" s="40">
        <f t="shared" si="0"/>
        <v>136</v>
      </c>
      <c r="Q32" s="36"/>
      <c r="U32" s="41" t="s">
        <v>490</v>
      </c>
      <c r="V32" s="41" t="s">
        <v>528</v>
      </c>
    </row>
    <row r="33" spans="1:22" s="41" customFormat="1" x14ac:dyDescent="0.2">
      <c r="A33" s="37" t="s">
        <v>285</v>
      </c>
      <c r="B33" s="37" t="s">
        <v>478</v>
      </c>
      <c r="C33" s="38">
        <v>192</v>
      </c>
      <c r="D33" s="38">
        <v>39</v>
      </c>
      <c r="E33" s="33">
        <v>0</v>
      </c>
      <c r="F33" s="39">
        <v>0</v>
      </c>
      <c r="G33" s="39">
        <v>0</v>
      </c>
      <c r="H33" s="38">
        <v>0</v>
      </c>
      <c r="I33" s="40">
        <v>0</v>
      </c>
      <c r="J33" s="40">
        <v>86</v>
      </c>
      <c r="K33" s="40">
        <v>108</v>
      </c>
      <c r="L33" s="40">
        <v>155</v>
      </c>
      <c r="M33" s="40">
        <v>197</v>
      </c>
      <c r="N33" s="33">
        <f t="shared" si="1"/>
        <v>192</v>
      </c>
      <c r="O33" s="31">
        <v>0</v>
      </c>
      <c r="P33" s="40">
        <f t="shared" si="0"/>
        <v>108</v>
      </c>
      <c r="Q33" s="36"/>
      <c r="U33" s="41" t="s">
        <v>486</v>
      </c>
      <c r="V33" s="41" t="s">
        <v>529</v>
      </c>
    </row>
    <row r="34" spans="1:22" s="41" customFormat="1" x14ac:dyDescent="0.2">
      <c r="A34" s="37" t="s">
        <v>299</v>
      </c>
      <c r="B34" s="37" t="s">
        <v>479</v>
      </c>
      <c r="C34" s="38">
        <v>292</v>
      </c>
      <c r="D34" s="38">
        <v>43</v>
      </c>
      <c r="E34" s="33">
        <v>0</v>
      </c>
      <c r="F34" s="39">
        <v>0</v>
      </c>
      <c r="G34" s="39">
        <v>0</v>
      </c>
      <c r="H34" s="38">
        <v>0</v>
      </c>
      <c r="I34" s="40">
        <v>0</v>
      </c>
      <c r="J34" s="40">
        <v>33</v>
      </c>
      <c r="K34" s="40">
        <v>37</v>
      </c>
      <c r="L34" s="40">
        <v>249</v>
      </c>
      <c r="M34" s="40">
        <v>292</v>
      </c>
      <c r="N34" s="33">
        <f t="shared" si="1"/>
        <v>292</v>
      </c>
      <c r="O34" s="31">
        <v>1</v>
      </c>
      <c r="P34" s="40">
        <f t="shared" si="0"/>
        <v>38</v>
      </c>
      <c r="Q34" s="36"/>
      <c r="U34" s="41" t="s">
        <v>479</v>
      </c>
      <c r="V34" s="41" t="s">
        <v>530</v>
      </c>
    </row>
    <row r="35" spans="1:22" s="41" customFormat="1" x14ac:dyDescent="0.2">
      <c r="A35" s="37" t="s">
        <v>299</v>
      </c>
      <c r="B35" s="37" t="s">
        <v>480</v>
      </c>
      <c r="C35" s="38">
        <v>349</v>
      </c>
      <c r="D35" s="38">
        <v>31</v>
      </c>
      <c r="E35" s="33">
        <v>0</v>
      </c>
      <c r="F35" s="39">
        <v>0</v>
      </c>
      <c r="G35" s="39">
        <v>0</v>
      </c>
      <c r="H35" s="38">
        <v>0</v>
      </c>
      <c r="I35" s="40">
        <v>0</v>
      </c>
      <c r="J35" s="40">
        <v>10</v>
      </c>
      <c r="K35" s="40">
        <v>10</v>
      </c>
      <c r="L35" s="40">
        <v>318</v>
      </c>
      <c r="M35" s="40">
        <v>349</v>
      </c>
      <c r="N35" s="33">
        <f t="shared" si="1"/>
        <v>349</v>
      </c>
      <c r="O35" s="31">
        <v>3</v>
      </c>
      <c r="P35" s="40">
        <f t="shared" si="0"/>
        <v>13</v>
      </c>
      <c r="Q35" s="36"/>
      <c r="U35" s="41" t="s">
        <v>480</v>
      </c>
      <c r="V35" s="41" t="s">
        <v>531</v>
      </c>
    </row>
    <row r="36" spans="1:22" s="41" customFormat="1" x14ac:dyDescent="0.2">
      <c r="A36" s="37" t="s">
        <v>304</v>
      </c>
      <c r="B36" s="37" t="s">
        <v>481</v>
      </c>
      <c r="C36" s="38">
        <v>0</v>
      </c>
      <c r="D36" s="38">
        <v>0</v>
      </c>
      <c r="E36" s="33">
        <v>0</v>
      </c>
      <c r="F36" s="39">
        <v>0</v>
      </c>
      <c r="G36" s="39">
        <v>0</v>
      </c>
      <c r="H36" s="38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33">
        <f t="shared" si="1"/>
        <v>0</v>
      </c>
      <c r="O36" s="31">
        <v>0</v>
      </c>
      <c r="P36" s="40">
        <f t="shared" si="0"/>
        <v>0</v>
      </c>
      <c r="Q36" s="36"/>
      <c r="U36" s="41" t="s">
        <v>465</v>
      </c>
      <c r="V36" s="41" t="s">
        <v>532</v>
      </c>
    </row>
    <row r="37" spans="1:22" s="41" customFormat="1" x14ac:dyDescent="0.2">
      <c r="A37" s="37" t="s">
        <v>310</v>
      </c>
      <c r="B37" s="37" t="s">
        <v>482</v>
      </c>
      <c r="C37" s="38">
        <v>649</v>
      </c>
      <c r="D37" s="38">
        <v>29</v>
      </c>
      <c r="E37" s="33">
        <v>29</v>
      </c>
      <c r="F37" s="39">
        <v>0</v>
      </c>
      <c r="G37" s="39">
        <v>0</v>
      </c>
      <c r="H37" s="38">
        <v>0</v>
      </c>
      <c r="I37" s="40">
        <v>0</v>
      </c>
      <c r="J37" s="40">
        <v>15</v>
      </c>
      <c r="K37" s="40">
        <v>20</v>
      </c>
      <c r="L37" s="40">
        <v>478</v>
      </c>
      <c r="M37" s="40">
        <v>678</v>
      </c>
      <c r="N37" s="33">
        <f t="shared" si="1"/>
        <v>653.6</v>
      </c>
      <c r="O37" s="31">
        <v>2</v>
      </c>
      <c r="P37" s="40">
        <f t="shared" si="0"/>
        <v>22</v>
      </c>
      <c r="Q37" s="36"/>
      <c r="U37" s="41" t="s">
        <v>493</v>
      </c>
      <c r="V37" s="41" t="s">
        <v>533</v>
      </c>
    </row>
    <row r="38" spans="1:22" x14ac:dyDescent="0.2">
      <c r="A38" s="32" t="s">
        <v>319</v>
      </c>
      <c r="B38" s="32" t="s">
        <v>483</v>
      </c>
      <c r="C38" s="33">
        <v>208</v>
      </c>
      <c r="D38" s="33">
        <v>0</v>
      </c>
      <c r="E38" s="33">
        <v>0</v>
      </c>
      <c r="F38" s="34">
        <v>0</v>
      </c>
      <c r="G38" s="34">
        <v>0</v>
      </c>
      <c r="H38" s="33">
        <v>0</v>
      </c>
      <c r="I38" s="35">
        <v>0</v>
      </c>
      <c r="J38" s="35">
        <v>0</v>
      </c>
      <c r="K38" s="35">
        <v>41</v>
      </c>
      <c r="L38" s="35">
        <v>0</v>
      </c>
      <c r="M38" s="35">
        <v>208</v>
      </c>
      <c r="N38" s="33">
        <f t="shared" si="1"/>
        <v>208</v>
      </c>
      <c r="O38" s="31">
        <v>0</v>
      </c>
      <c r="P38" s="35">
        <f t="shared" si="0"/>
        <v>41</v>
      </c>
      <c r="Q38" s="36"/>
      <c r="U38" s="31" t="s">
        <v>343</v>
      </c>
      <c r="V38" s="31" t="s">
        <v>534</v>
      </c>
    </row>
    <row r="39" spans="1:22" x14ac:dyDescent="0.2">
      <c r="A39" s="32" t="s">
        <v>319</v>
      </c>
      <c r="B39" s="32" t="s">
        <v>484</v>
      </c>
      <c r="C39" s="33">
        <v>242.5</v>
      </c>
      <c r="D39" s="33">
        <v>0</v>
      </c>
      <c r="E39" s="33">
        <v>0</v>
      </c>
      <c r="F39" s="34">
        <v>0</v>
      </c>
      <c r="G39" s="34">
        <v>0</v>
      </c>
      <c r="H39" s="33">
        <v>0</v>
      </c>
      <c r="I39" s="35">
        <v>0</v>
      </c>
      <c r="J39" s="35">
        <v>13</v>
      </c>
      <c r="K39" s="35">
        <v>13</v>
      </c>
      <c r="L39" s="35">
        <v>245</v>
      </c>
      <c r="M39" s="35">
        <v>245</v>
      </c>
      <c r="N39" s="33">
        <f t="shared" si="1"/>
        <v>242.5</v>
      </c>
      <c r="O39" s="31">
        <v>0</v>
      </c>
      <c r="P39" s="35">
        <f t="shared" si="0"/>
        <v>13</v>
      </c>
      <c r="Q39" s="36"/>
      <c r="U39" s="31" t="s">
        <v>458</v>
      </c>
      <c r="V39" s="31" t="s">
        <v>535</v>
      </c>
    </row>
    <row r="40" spans="1:22" s="41" customFormat="1" x14ac:dyDescent="0.2">
      <c r="A40" s="37" t="s">
        <v>322</v>
      </c>
      <c r="B40" s="37" t="s">
        <v>485</v>
      </c>
      <c r="C40" s="38">
        <v>205.5</v>
      </c>
      <c r="D40" s="38">
        <v>29.5</v>
      </c>
      <c r="E40" s="38">
        <v>1.5</v>
      </c>
      <c r="F40" s="39">
        <v>0</v>
      </c>
      <c r="G40" s="39">
        <v>0</v>
      </c>
      <c r="H40" s="38">
        <v>0</v>
      </c>
      <c r="I40" s="40">
        <v>0</v>
      </c>
      <c r="J40" s="40">
        <v>60</v>
      </c>
      <c r="K40" s="40">
        <v>66</v>
      </c>
      <c r="L40" s="40">
        <v>181</v>
      </c>
      <c r="M40" s="40">
        <v>212</v>
      </c>
      <c r="N40" s="38">
        <f t="shared" si="1"/>
        <v>205.7</v>
      </c>
      <c r="O40" s="41">
        <v>1</v>
      </c>
      <c r="P40" s="40">
        <f t="shared" si="0"/>
        <v>67</v>
      </c>
      <c r="Q40" s="36"/>
      <c r="U40" s="41" t="s">
        <v>459</v>
      </c>
      <c r="V40" s="41" t="s">
        <v>536</v>
      </c>
    </row>
    <row r="41" spans="1:22" s="41" customFormat="1" x14ac:dyDescent="0.2">
      <c r="A41" s="37" t="s">
        <v>322</v>
      </c>
      <c r="B41" s="37" t="s">
        <v>486</v>
      </c>
      <c r="C41" s="38">
        <v>1285.5</v>
      </c>
      <c r="D41" s="38">
        <v>0</v>
      </c>
      <c r="E41" s="38">
        <v>0</v>
      </c>
      <c r="F41" s="39">
        <v>0</v>
      </c>
      <c r="G41" s="39">
        <v>0</v>
      </c>
      <c r="H41" s="38">
        <v>0</v>
      </c>
      <c r="I41" s="40">
        <v>0</v>
      </c>
      <c r="J41" s="40">
        <v>52</v>
      </c>
      <c r="K41" s="40">
        <v>171</v>
      </c>
      <c r="L41" s="40">
        <v>275</v>
      </c>
      <c r="M41" s="40">
        <v>1319</v>
      </c>
      <c r="N41" s="38">
        <f t="shared" si="1"/>
        <v>1285.5</v>
      </c>
      <c r="O41" s="41">
        <v>2</v>
      </c>
      <c r="P41" s="40">
        <f t="shared" si="0"/>
        <v>173</v>
      </c>
      <c r="Q41" s="36"/>
    </row>
    <row r="42" spans="1:22" s="41" customFormat="1" x14ac:dyDescent="0.2">
      <c r="A42" s="37" t="s">
        <v>322</v>
      </c>
      <c r="B42" s="37" t="s">
        <v>487</v>
      </c>
      <c r="C42" s="38">
        <v>0</v>
      </c>
      <c r="D42" s="38">
        <v>0</v>
      </c>
      <c r="E42" s="38">
        <v>0</v>
      </c>
      <c r="F42" s="39">
        <v>0</v>
      </c>
      <c r="G42" s="39">
        <v>0</v>
      </c>
      <c r="H42" s="38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38">
        <f t="shared" si="1"/>
        <v>0</v>
      </c>
      <c r="O42" s="41">
        <v>0</v>
      </c>
      <c r="P42" s="40">
        <f t="shared" si="0"/>
        <v>0</v>
      </c>
      <c r="Q42" s="36"/>
    </row>
    <row r="43" spans="1:22" s="41" customFormat="1" x14ac:dyDescent="0.2">
      <c r="A43" s="37" t="s">
        <v>322</v>
      </c>
      <c r="B43" s="37" t="s">
        <v>488</v>
      </c>
      <c r="C43" s="38">
        <v>34.5</v>
      </c>
      <c r="D43" s="38">
        <v>0</v>
      </c>
      <c r="E43" s="38">
        <v>0</v>
      </c>
      <c r="F43" s="39">
        <v>0</v>
      </c>
      <c r="G43" s="39">
        <v>0</v>
      </c>
      <c r="H43" s="38">
        <v>0</v>
      </c>
      <c r="I43" s="40">
        <v>0</v>
      </c>
      <c r="J43" s="40">
        <v>13</v>
      </c>
      <c r="K43" s="40">
        <v>13</v>
      </c>
      <c r="L43" s="40">
        <v>35</v>
      </c>
      <c r="M43" s="40">
        <v>35</v>
      </c>
      <c r="N43" s="38">
        <f t="shared" si="1"/>
        <v>34.5</v>
      </c>
      <c r="O43" s="41">
        <v>0</v>
      </c>
      <c r="P43" s="40">
        <f t="shared" si="0"/>
        <v>13</v>
      </c>
      <c r="Q43" s="36"/>
    </row>
    <row r="44" spans="1:22" s="41" customFormat="1" x14ac:dyDescent="0.2">
      <c r="A44" s="37" t="s">
        <v>322</v>
      </c>
      <c r="B44" s="37" t="s">
        <v>489</v>
      </c>
      <c r="C44" s="38">
        <v>182</v>
      </c>
      <c r="D44" s="38">
        <v>46</v>
      </c>
      <c r="E44" s="38">
        <v>2</v>
      </c>
      <c r="F44" s="39">
        <v>0</v>
      </c>
      <c r="G44" s="39">
        <v>0</v>
      </c>
      <c r="H44" s="38">
        <v>0</v>
      </c>
      <c r="I44" s="40">
        <v>0</v>
      </c>
      <c r="J44" s="40">
        <v>48</v>
      </c>
      <c r="K44" s="40">
        <v>59</v>
      </c>
      <c r="L44" s="40">
        <v>155</v>
      </c>
      <c r="M44" s="40">
        <v>203</v>
      </c>
      <c r="N44" s="38">
        <f t="shared" si="1"/>
        <v>182.3</v>
      </c>
      <c r="O44" s="41">
        <v>1</v>
      </c>
      <c r="P44" s="40">
        <f t="shared" si="0"/>
        <v>60</v>
      </c>
      <c r="Q44" s="36"/>
    </row>
    <row r="45" spans="1:22" s="41" customFormat="1" x14ac:dyDescent="0.2">
      <c r="A45" s="37" t="s">
        <v>322</v>
      </c>
      <c r="B45" s="37" t="s">
        <v>490</v>
      </c>
      <c r="C45" s="38">
        <v>114</v>
      </c>
      <c r="D45" s="38">
        <v>8</v>
      </c>
      <c r="E45" s="38">
        <v>8</v>
      </c>
      <c r="F45" s="39">
        <v>0</v>
      </c>
      <c r="G45" s="39">
        <v>0</v>
      </c>
      <c r="H45" s="38">
        <v>0</v>
      </c>
      <c r="I45" s="40">
        <v>0</v>
      </c>
      <c r="J45" s="40">
        <v>5</v>
      </c>
      <c r="K45" s="40">
        <v>5</v>
      </c>
      <c r="L45" s="40">
        <v>149</v>
      </c>
      <c r="M45" s="40">
        <v>185</v>
      </c>
      <c r="N45" s="38">
        <f t="shared" si="1"/>
        <v>115.3</v>
      </c>
      <c r="O45" s="41">
        <v>0</v>
      </c>
      <c r="P45" s="40">
        <f t="shared" si="0"/>
        <v>5</v>
      </c>
      <c r="Q45" s="36"/>
    </row>
    <row r="46" spans="1:22" x14ac:dyDescent="0.2">
      <c r="A46" s="32" t="s">
        <v>340</v>
      </c>
      <c r="B46" s="32" t="s">
        <v>491</v>
      </c>
      <c r="C46" s="33">
        <v>862</v>
      </c>
      <c r="D46" s="33">
        <v>60</v>
      </c>
      <c r="E46" s="33">
        <v>16</v>
      </c>
      <c r="F46" s="45">
        <v>0</v>
      </c>
      <c r="G46" s="34">
        <v>0</v>
      </c>
      <c r="H46" s="33">
        <v>0</v>
      </c>
      <c r="I46" s="35">
        <v>0</v>
      </c>
      <c r="J46" s="35">
        <v>62</v>
      </c>
      <c r="K46" s="35">
        <v>74</v>
      </c>
      <c r="L46" s="35">
        <v>642</v>
      </c>
      <c r="M46" s="35">
        <v>878</v>
      </c>
      <c r="N46" s="33">
        <f t="shared" si="1"/>
        <v>864.6</v>
      </c>
      <c r="O46" s="31">
        <v>2</v>
      </c>
      <c r="P46" s="35">
        <f t="shared" si="0"/>
        <v>76</v>
      </c>
      <c r="Q46" s="36"/>
    </row>
    <row r="47" spans="1:22" x14ac:dyDescent="0.2">
      <c r="A47" s="32" t="s">
        <v>340</v>
      </c>
      <c r="B47" s="46" t="s">
        <v>492</v>
      </c>
      <c r="C47" s="33">
        <v>27</v>
      </c>
      <c r="D47" s="33">
        <v>10</v>
      </c>
      <c r="E47" s="33">
        <v>0</v>
      </c>
      <c r="F47" s="45">
        <v>0</v>
      </c>
      <c r="G47" s="34">
        <v>15</v>
      </c>
      <c r="H47" s="33">
        <v>0</v>
      </c>
      <c r="I47" s="35">
        <v>0</v>
      </c>
      <c r="J47" s="35">
        <v>1</v>
      </c>
      <c r="K47" s="35">
        <v>1</v>
      </c>
      <c r="L47" s="35">
        <v>17</v>
      </c>
      <c r="M47" s="35">
        <v>27</v>
      </c>
      <c r="N47" s="33">
        <f t="shared" si="1"/>
        <v>42</v>
      </c>
      <c r="O47" s="31">
        <v>0</v>
      </c>
      <c r="P47" s="35">
        <f t="shared" si="0"/>
        <v>1</v>
      </c>
    </row>
    <row r="48" spans="1:22" x14ac:dyDescent="0.2">
      <c r="A48" s="32" t="s">
        <v>377</v>
      </c>
      <c r="B48" s="32" t="s">
        <v>493</v>
      </c>
      <c r="C48" s="33">
        <v>120</v>
      </c>
      <c r="D48" s="33">
        <v>28</v>
      </c>
      <c r="E48" s="33">
        <v>0</v>
      </c>
      <c r="F48" s="45">
        <v>0</v>
      </c>
      <c r="G48" s="34">
        <v>0</v>
      </c>
      <c r="H48" s="33">
        <v>0</v>
      </c>
      <c r="I48" s="35">
        <v>0</v>
      </c>
      <c r="J48" s="35">
        <v>4</v>
      </c>
      <c r="K48" s="35">
        <v>5</v>
      </c>
      <c r="L48" s="35">
        <v>92</v>
      </c>
      <c r="M48" s="35">
        <v>120</v>
      </c>
      <c r="N48" s="33">
        <f t="shared" si="1"/>
        <v>120</v>
      </c>
      <c r="O48" s="31">
        <v>0</v>
      </c>
      <c r="P48" s="35">
        <f t="shared" si="0"/>
        <v>5</v>
      </c>
      <c r="Q48" s="36"/>
    </row>
    <row r="49" spans="1:17" x14ac:dyDescent="0.2">
      <c r="J49" s="35"/>
      <c r="K49" s="35"/>
      <c r="L49" s="35"/>
      <c r="M49" s="35"/>
      <c r="Q49" s="36"/>
    </row>
    <row r="50" spans="1:17" x14ac:dyDescent="0.2">
      <c r="J50" s="35"/>
      <c r="K50" s="35"/>
      <c r="L50" s="35"/>
      <c r="M50" s="35"/>
      <c r="N50" s="33">
        <f>SUM(N2:N49)</f>
        <v>17770.400000000001</v>
      </c>
      <c r="O50" s="31">
        <f>SUM(O2:O48)</f>
        <v>74</v>
      </c>
      <c r="P50" s="35">
        <f>SUM(P2:P48)</f>
        <v>5032</v>
      </c>
      <c r="Q50" s="36"/>
    </row>
    <row r="51" spans="1:17" x14ac:dyDescent="0.2">
      <c r="J51" s="35"/>
      <c r="K51" s="35"/>
      <c r="L51" s="35"/>
      <c r="M51" s="35"/>
      <c r="Q51" s="36"/>
    </row>
    <row r="52" spans="1:17" x14ac:dyDescent="0.2">
      <c r="J52" s="35"/>
      <c r="K52" s="35"/>
      <c r="L52" s="35"/>
      <c r="M52" s="35"/>
      <c r="Q52" s="36"/>
    </row>
    <row r="53" spans="1:17" x14ac:dyDescent="0.2">
      <c r="A53" s="31" t="s">
        <v>234</v>
      </c>
      <c r="B53" s="46" t="s">
        <v>434</v>
      </c>
      <c r="C53" s="33">
        <f>SUMIF($B$2:$B$48,"0654",C2:C48)+SUMIF($B$2:$B$48,"6913",C2:C48)+SUMIF($B$2:$B$48,"6914",C2:C48)</f>
        <v>2016.5</v>
      </c>
      <c r="D53" s="33">
        <f t="shared" ref="D53:M53" si="2">SUMIF($B$2:$B$48,"0654",D2:D48)+SUMIF($B$2:$B$48,"6913",D2:D48)+SUMIF($B$2:$B$48,"6914",D2:D48)</f>
        <v>120</v>
      </c>
      <c r="E53" s="33">
        <f t="shared" si="2"/>
        <v>0</v>
      </c>
      <c r="F53" s="33">
        <f t="shared" si="2"/>
        <v>0</v>
      </c>
      <c r="G53" s="33">
        <f t="shared" si="2"/>
        <v>0</v>
      </c>
      <c r="H53" s="33">
        <f t="shared" si="2"/>
        <v>0</v>
      </c>
      <c r="I53" s="33">
        <f t="shared" si="2"/>
        <v>5.5</v>
      </c>
      <c r="J53" s="33">
        <f t="shared" si="2"/>
        <v>765</v>
      </c>
      <c r="K53" s="33">
        <f t="shared" si="2"/>
        <v>1117</v>
      </c>
      <c r="L53" s="33">
        <f t="shared" si="2"/>
        <v>1355</v>
      </c>
      <c r="M53" s="33">
        <f t="shared" si="2"/>
        <v>2018</v>
      </c>
      <c r="N53" s="33">
        <f t="shared" ref="N53:N55" si="3">ROUND(C53+G53+H53+(E53*2*0.08),1)</f>
        <v>2016.5</v>
      </c>
      <c r="O53" s="33">
        <f t="shared" ref="O53" si="4">SUMIF($B$2:$B$48,"0654",O2:O48)+SUMIF($B$2:$B$48,"6913",O2:O48)+SUMIF($B$2:$B$48,"6914",O2:O48)</f>
        <v>5</v>
      </c>
      <c r="P53" s="35">
        <f t="shared" ref="P53:P55" si="5">K53+O53</f>
        <v>1122</v>
      </c>
      <c r="Q53" s="36"/>
    </row>
    <row r="54" spans="1:17" x14ac:dyDescent="0.2">
      <c r="A54" s="31" t="s">
        <v>236</v>
      </c>
      <c r="B54" s="31" t="s">
        <v>494</v>
      </c>
      <c r="C54" s="33">
        <f>SUMIF($B$2:$B$48,"1882",C2:C48)+SUMIF($B$2:$B$48,"9037",C2:C48)+SUMIF($B$2:$B$48,"9040",C2:C48)</f>
        <v>753</v>
      </c>
      <c r="D54" s="33">
        <f t="shared" ref="D54:M54" si="6">SUMIF($B$2:$B$48,"1882",D2:D48)+SUMIF($B$2:$B$48,"9037",D2:D48)+SUMIF($B$2:$B$48,"9040",D2:D48)</f>
        <v>67</v>
      </c>
      <c r="E54" s="33">
        <f t="shared" si="6"/>
        <v>0</v>
      </c>
      <c r="F54" s="33">
        <f t="shared" si="6"/>
        <v>0</v>
      </c>
      <c r="G54" s="33">
        <f t="shared" si="6"/>
        <v>14</v>
      </c>
      <c r="H54" s="33">
        <f t="shared" si="6"/>
        <v>0.5</v>
      </c>
      <c r="I54" s="33">
        <f t="shared" si="6"/>
        <v>0</v>
      </c>
      <c r="J54" s="33">
        <f t="shared" si="6"/>
        <v>334</v>
      </c>
      <c r="K54" s="33">
        <f t="shared" si="6"/>
        <v>437</v>
      </c>
      <c r="L54" s="33">
        <f t="shared" si="6"/>
        <v>563</v>
      </c>
      <c r="M54" s="33">
        <f t="shared" si="6"/>
        <v>753</v>
      </c>
      <c r="N54" s="33">
        <f t="shared" si="3"/>
        <v>767.5</v>
      </c>
      <c r="O54" s="33">
        <f t="shared" ref="O54" si="7">SUMIF($B$2:$B$48,"1882",O2:O48)+SUMIF($B$2:$B$48,"9037",O2:O48)+SUMIF($B$2:$B$48,"9040",O2:O48)</f>
        <v>2</v>
      </c>
      <c r="P54" s="35">
        <f t="shared" si="5"/>
        <v>439</v>
      </c>
      <c r="Q54" s="36"/>
    </row>
    <row r="55" spans="1:17" x14ac:dyDescent="0.2">
      <c r="A55" s="31" t="s">
        <v>247</v>
      </c>
      <c r="B55" s="31" t="s">
        <v>495</v>
      </c>
      <c r="C55" s="33">
        <f>SUMIF($B$2:$B$48,"6266",C2:C48)+SUMIF($B$2:$B$48,"3513",C2:C48)</f>
        <v>90</v>
      </c>
      <c r="D55" s="33">
        <f t="shared" ref="D55:M55" si="8">SUMIF($B$2:$B$48,"6266",D2:D48)+SUMIF($B$2:$B$48,"3513",D2:D48)</f>
        <v>0</v>
      </c>
      <c r="E55" s="33">
        <f t="shared" si="8"/>
        <v>0</v>
      </c>
      <c r="F55" s="33">
        <f t="shared" si="8"/>
        <v>0</v>
      </c>
      <c r="G55" s="33">
        <f t="shared" si="8"/>
        <v>7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82</v>
      </c>
      <c r="L55" s="33">
        <f t="shared" si="8"/>
        <v>0</v>
      </c>
      <c r="M55" s="33">
        <f t="shared" si="8"/>
        <v>98</v>
      </c>
      <c r="N55" s="33">
        <f t="shared" si="3"/>
        <v>97</v>
      </c>
      <c r="O55" s="33">
        <f t="shared" ref="O55" si="9">SUMIF($B$2:$B$48,"6266",O2:O48)+SUMIF($B$2:$B$48,"3513",O2:O48)</f>
        <v>2</v>
      </c>
      <c r="P55" s="35">
        <f t="shared" si="5"/>
        <v>84</v>
      </c>
      <c r="Q55" s="36"/>
    </row>
    <row r="56" spans="1:17" x14ac:dyDescent="0.2">
      <c r="J56" s="35"/>
      <c r="K56" s="35"/>
      <c r="L56" s="35"/>
      <c r="M56" s="35"/>
      <c r="Q56" s="36"/>
    </row>
    <row r="57" spans="1:17" x14ac:dyDescent="0.2">
      <c r="J57" s="35"/>
      <c r="K57" s="35"/>
      <c r="L57" s="35"/>
      <c r="M57" s="35"/>
      <c r="Q57" s="36"/>
    </row>
    <row r="58" spans="1:17" x14ac:dyDescent="0.2">
      <c r="J58" s="35"/>
      <c r="K58" s="35"/>
      <c r="L58" s="35"/>
      <c r="M58" s="35"/>
      <c r="Q58" s="36"/>
    </row>
    <row r="59" spans="1:17" x14ac:dyDescent="0.2">
      <c r="J59" s="35"/>
      <c r="K59" s="35"/>
      <c r="L59" s="35"/>
      <c r="M59" s="35"/>
      <c r="Q59" s="36"/>
    </row>
    <row r="60" spans="1:17" x14ac:dyDescent="0.2">
      <c r="J60" s="35"/>
      <c r="K60" s="35"/>
      <c r="L60" s="35"/>
      <c r="M60" s="35"/>
      <c r="Q60" s="36"/>
    </row>
    <row r="61" spans="1:17" x14ac:dyDescent="0.2">
      <c r="J61" s="35"/>
      <c r="K61" s="35"/>
      <c r="L61" s="35"/>
      <c r="M61" s="35"/>
      <c r="Q61" s="36"/>
    </row>
    <row r="62" spans="1:17" x14ac:dyDescent="0.2">
      <c r="J62" s="35"/>
      <c r="K62" s="35"/>
      <c r="L62" s="35"/>
      <c r="M62" s="35"/>
      <c r="Q62" s="36"/>
    </row>
    <row r="63" spans="1:17" x14ac:dyDescent="0.2">
      <c r="J63" s="35"/>
      <c r="K63" s="35"/>
      <c r="L63" s="35"/>
      <c r="M63" s="35"/>
      <c r="Q63" s="36"/>
    </row>
    <row r="64" spans="1:17" x14ac:dyDescent="0.2">
      <c r="J64" s="35"/>
      <c r="K64" s="35"/>
      <c r="L64" s="35"/>
      <c r="M64" s="35"/>
      <c r="Q64" s="36"/>
    </row>
    <row r="65" spans="10:17" x14ac:dyDescent="0.2">
      <c r="J65" s="35"/>
      <c r="K65" s="35"/>
      <c r="L65" s="35"/>
      <c r="M65" s="35"/>
      <c r="Q65" s="36"/>
    </row>
    <row r="66" spans="10:17" x14ac:dyDescent="0.2">
      <c r="J66" s="35"/>
      <c r="K66" s="35"/>
      <c r="L66" s="35"/>
      <c r="M66" s="35"/>
      <c r="Q66" s="36"/>
    </row>
    <row r="67" spans="10:17" x14ac:dyDescent="0.2">
      <c r="J67" s="35"/>
      <c r="K67" s="35"/>
      <c r="L67" s="35"/>
      <c r="M67" s="35"/>
      <c r="Q67" s="36"/>
    </row>
    <row r="68" spans="10:17" x14ac:dyDescent="0.2">
      <c r="J68" s="35"/>
      <c r="K68" s="35"/>
      <c r="L68" s="35"/>
      <c r="M68" s="35"/>
      <c r="Q68" s="36"/>
    </row>
    <row r="69" spans="10:17" x14ac:dyDescent="0.2">
      <c r="J69" s="35"/>
      <c r="K69" s="35"/>
      <c r="L69" s="35"/>
      <c r="M69" s="35"/>
      <c r="Q69" s="36"/>
    </row>
    <row r="70" spans="10:17" x14ac:dyDescent="0.2">
      <c r="J70" s="35"/>
      <c r="K70" s="35"/>
      <c r="L70" s="35"/>
      <c r="M70" s="35"/>
      <c r="Q70" s="36"/>
    </row>
    <row r="71" spans="10:17" x14ac:dyDescent="0.2">
      <c r="J71" s="35"/>
      <c r="K71" s="35"/>
      <c r="L71" s="35"/>
      <c r="M71" s="35"/>
      <c r="Q71" s="36"/>
    </row>
    <row r="72" spans="10:17" x14ac:dyDescent="0.2">
      <c r="J72" s="35"/>
      <c r="K72" s="35"/>
      <c r="L72" s="35"/>
      <c r="M72" s="35"/>
      <c r="Q72" s="36"/>
    </row>
    <row r="73" spans="10:17" x14ac:dyDescent="0.2">
      <c r="J73" s="35"/>
      <c r="K73" s="35"/>
      <c r="L73" s="35"/>
      <c r="M73" s="35"/>
      <c r="Q73" s="36"/>
    </row>
    <row r="74" spans="10:17" x14ac:dyDescent="0.2">
      <c r="J74" s="35"/>
      <c r="K74" s="35"/>
      <c r="L74" s="35"/>
      <c r="M74" s="35"/>
      <c r="Q74" s="36"/>
    </row>
    <row r="75" spans="10:17" x14ac:dyDescent="0.2">
      <c r="J75" s="35"/>
      <c r="K75" s="35"/>
      <c r="L75" s="35"/>
      <c r="M75" s="35"/>
      <c r="Q75" s="36"/>
    </row>
    <row r="76" spans="10:17" x14ac:dyDescent="0.2">
      <c r="J76" s="35"/>
      <c r="K76" s="35"/>
      <c r="L76" s="35"/>
      <c r="M76" s="35"/>
      <c r="Q76" s="36"/>
    </row>
    <row r="77" spans="10:17" x14ac:dyDescent="0.2">
      <c r="J77" s="35"/>
      <c r="K77" s="35"/>
      <c r="L77" s="35"/>
      <c r="M77" s="35"/>
      <c r="Q77" s="36"/>
    </row>
    <row r="78" spans="10:17" x14ac:dyDescent="0.2">
      <c r="J78" s="35"/>
      <c r="K78" s="35"/>
      <c r="L78" s="35"/>
      <c r="M78" s="35"/>
      <c r="Q78" s="36"/>
    </row>
    <row r="79" spans="10:17" x14ac:dyDescent="0.2">
      <c r="J79" s="35"/>
      <c r="K79" s="35"/>
      <c r="L79" s="35"/>
      <c r="M79" s="35"/>
      <c r="Q79" s="36"/>
    </row>
    <row r="80" spans="10:17" x14ac:dyDescent="0.2">
      <c r="J80" s="35"/>
      <c r="K80" s="35"/>
      <c r="L80" s="35"/>
      <c r="M80" s="35"/>
      <c r="Q80" s="36"/>
    </row>
    <row r="81" spans="10:17" x14ac:dyDescent="0.2">
      <c r="J81" s="35"/>
      <c r="K81" s="35"/>
      <c r="L81" s="35"/>
      <c r="M81" s="35"/>
      <c r="Q81" s="36"/>
    </row>
    <row r="82" spans="10:17" x14ac:dyDescent="0.2">
      <c r="J82" s="35"/>
      <c r="K82" s="35"/>
      <c r="L82" s="35"/>
      <c r="M82" s="35"/>
      <c r="Q82" s="36"/>
    </row>
    <row r="83" spans="10:17" x14ac:dyDescent="0.2">
      <c r="J83" s="35"/>
      <c r="K83" s="35"/>
      <c r="L83" s="35"/>
      <c r="M83" s="35"/>
      <c r="Q83" s="36"/>
    </row>
    <row r="84" spans="10:17" x14ac:dyDescent="0.2">
      <c r="J84" s="35"/>
      <c r="K84" s="35"/>
      <c r="L84" s="35"/>
      <c r="M84" s="35"/>
      <c r="Q84" s="36"/>
    </row>
    <row r="85" spans="10:17" x14ac:dyDescent="0.2">
      <c r="J85" s="35"/>
      <c r="K85" s="35"/>
      <c r="L85" s="35"/>
      <c r="M85" s="35"/>
      <c r="Q85" s="36"/>
    </row>
    <row r="86" spans="10:17" x14ac:dyDescent="0.2">
      <c r="J86" s="35"/>
      <c r="K86" s="35"/>
      <c r="L86" s="35"/>
      <c r="M86" s="35"/>
      <c r="Q86" s="36"/>
    </row>
    <row r="87" spans="10:17" x14ac:dyDescent="0.2">
      <c r="J87" s="35"/>
      <c r="K87" s="35"/>
      <c r="L87" s="35"/>
      <c r="M87" s="35"/>
      <c r="Q87" s="36"/>
    </row>
    <row r="88" spans="10:17" x14ac:dyDescent="0.2">
      <c r="J88" s="35"/>
      <c r="K88" s="35"/>
      <c r="L88" s="35"/>
      <c r="M88" s="35"/>
      <c r="Q88" s="36"/>
    </row>
    <row r="89" spans="10:17" x14ac:dyDescent="0.2">
      <c r="J89" s="35"/>
      <c r="K89" s="35"/>
      <c r="L89" s="35"/>
      <c r="M89" s="35"/>
      <c r="Q89" s="36"/>
    </row>
    <row r="90" spans="10:17" x14ac:dyDescent="0.2">
      <c r="J90" s="35"/>
      <c r="K90" s="35"/>
      <c r="L90" s="35"/>
      <c r="M90" s="35"/>
      <c r="Q90" s="36"/>
    </row>
    <row r="91" spans="10:17" x14ac:dyDescent="0.2">
      <c r="J91" s="35"/>
      <c r="K91" s="35"/>
      <c r="L91" s="35"/>
      <c r="M91" s="35"/>
      <c r="Q91" s="36"/>
    </row>
    <row r="92" spans="10:17" x14ac:dyDescent="0.2">
      <c r="J92" s="35"/>
      <c r="K92" s="35"/>
      <c r="L92" s="35"/>
      <c r="M92" s="35"/>
      <c r="Q92" s="36"/>
    </row>
    <row r="93" spans="10:17" x14ac:dyDescent="0.2">
      <c r="J93" s="35"/>
      <c r="K93" s="35"/>
      <c r="L93" s="35"/>
      <c r="M93" s="35"/>
      <c r="Q93" s="36"/>
    </row>
    <row r="94" spans="10:17" x14ac:dyDescent="0.2">
      <c r="J94" s="35"/>
      <c r="K94" s="35"/>
      <c r="L94" s="35"/>
      <c r="M94" s="35"/>
      <c r="Q94" s="36"/>
    </row>
    <row r="95" spans="10:17" x14ac:dyDescent="0.2">
      <c r="J95" s="35"/>
      <c r="K95" s="35"/>
      <c r="L95" s="35"/>
      <c r="M95" s="35"/>
      <c r="Q95" s="36"/>
    </row>
    <row r="96" spans="10:17" x14ac:dyDescent="0.2">
      <c r="J96" s="35"/>
      <c r="K96" s="35"/>
      <c r="L96" s="35"/>
      <c r="M96" s="35"/>
      <c r="Q96" s="36"/>
    </row>
    <row r="97" spans="10:17" x14ac:dyDescent="0.2">
      <c r="J97" s="35"/>
      <c r="K97" s="35"/>
      <c r="L97" s="35"/>
      <c r="M97" s="35"/>
      <c r="Q97" s="36"/>
    </row>
    <row r="98" spans="10:17" x14ac:dyDescent="0.2">
      <c r="J98" s="35"/>
      <c r="K98" s="35"/>
      <c r="L98" s="35"/>
      <c r="M98" s="35"/>
      <c r="Q98" s="36"/>
    </row>
    <row r="99" spans="10:17" x14ac:dyDescent="0.2">
      <c r="J99" s="35"/>
      <c r="K99" s="35"/>
      <c r="L99" s="35"/>
      <c r="M99" s="35"/>
      <c r="Q99" s="36"/>
    </row>
    <row r="100" spans="10:17" x14ac:dyDescent="0.2">
      <c r="J100" s="35"/>
      <c r="K100" s="35"/>
      <c r="L100" s="35"/>
      <c r="M100" s="35"/>
      <c r="Q100" s="36"/>
    </row>
    <row r="101" spans="10:17" x14ac:dyDescent="0.2">
      <c r="J101" s="35"/>
      <c r="K101" s="35"/>
      <c r="L101" s="35"/>
      <c r="M101" s="35"/>
      <c r="Q101" s="36"/>
    </row>
    <row r="102" spans="10:17" x14ac:dyDescent="0.2">
      <c r="J102" s="35"/>
      <c r="K102" s="35"/>
      <c r="L102" s="35"/>
      <c r="M102" s="35"/>
      <c r="Q102" s="36"/>
    </row>
    <row r="103" spans="10:17" x14ac:dyDescent="0.2">
      <c r="J103" s="35"/>
      <c r="K103" s="35"/>
      <c r="L103" s="35"/>
      <c r="M103" s="35"/>
      <c r="Q103" s="36"/>
    </row>
    <row r="104" spans="10:17" x14ac:dyDescent="0.2">
      <c r="J104" s="35"/>
      <c r="K104" s="35"/>
      <c r="L104" s="35"/>
      <c r="M104" s="35"/>
      <c r="Q104" s="36"/>
    </row>
    <row r="105" spans="10:17" x14ac:dyDescent="0.2">
      <c r="J105" s="35"/>
      <c r="K105" s="35"/>
      <c r="L105" s="35"/>
      <c r="M105" s="35"/>
      <c r="Q105" s="36"/>
    </row>
    <row r="106" spans="10:17" x14ac:dyDescent="0.2">
      <c r="J106" s="35"/>
      <c r="K106" s="35"/>
      <c r="L106" s="35"/>
      <c r="M106" s="35"/>
      <c r="Q106" s="36"/>
    </row>
    <row r="107" spans="10:17" x14ac:dyDescent="0.2">
      <c r="J107" s="35"/>
      <c r="K107" s="35"/>
      <c r="L107" s="35"/>
      <c r="M107" s="35"/>
      <c r="Q107" s="36"/>
    </row>
    <row r="108" spans="10:17" x14ac:dyDescent="0.2">
      <c r="J108" s="35"/>
      <c r="K108" s="35"/>
      <c r="L108" s="35"/>
      <c r="M108" s="35"/>
      <c r="Q108" s="36"/>
    </row>
    <row r="109" spans="10:17" x14ac:dyDescent="0.2">
      <c r="J109" s="35"/>
      <c r="K109" s="35"/>
      <c r="L109" s="35"/>
      <c r="M109" s="35"/>
      <c r="Q109" s="36"/>
    </row>
    <row r="110" spans="10:17" x14ac:dyDescent="0.2">
      <c r="J110" s="35"/>
      <c r="K110" s="35"/>
      <c r="L110" s="35"/>
      <c r="M110" s="35"/>
      <c r="Q110" s="36"/>
    </row>
    <row r="111" spans="10:17" x14ac:dyDescent="0.2">
      <c r="J111" s="35"/>
      <c r="K111" s="35"/>
      <c r="L111" s="35"/>
      <c r="M111" s="35"/>
      <c r="Q111" s="36"/>
    </row>
    <row r="112" spans="10:17" x14ac:dyDescent="0.2">
      <c r="J112" s="35"/>
      <c r="K112" s="35"/>
      <c r="L112" s="35"/>
      <c r="M112" s="35"/>
      <c r="Q112" s="36"/>
    </row>
    <row r="113" spans="10:17" x14ac:dyDescent="0.2">
      <c r="J113" s="35"/>
      <c r="K113" s="35"/>
      <c r="L113" s="35"/>
      <c r="M113" s="35"/>
      <c r="Q113" s="36"/>
    </row>
    <row r="114" spans="10:17" x14ac:dyDescent="0.2">
      <c r="J114" s="35"/>
      <c r="K114" s="35"/>
      <c r="L114" s="35"/>
      <c r="M114" s="35"/>
      <c r="Q114" s="36"/>
    </row>
    <row r="115" spans="10:17" x14ac:dyDescent="0.2">
      <c r="J115" s="35"/>
      <c r="K115" s="35"/>
      <c r="L115" s="35"/>
      <c r="M115" s="35"/>
      <c r="Q115" s="36"/>
    </row>
    <row r="116" spans="10:17" x14ac:dyDescent="0.2">
      <c r="J116" s="35"/>
      <c r="K116" s="35"/>
      <c r="L116" s="35"/>
      <c r="M116" s="35"/>
      <c r="Q116" s="36"/>
    </row>
    <row r="117" spans="10:17" x14ac:dyDescent="0.2">
      <c r="J117" s="35"/>
      <c r="K117" s="35"/>
      <c r="L117" s="35"/>
      <c r="M117" s="35"/>
      <c r="Q117" s="36"/>
    </row>
    <row r="118" spans="10:17" x14ac:dyDescent="0.2">
      <c r="J118" s="35"/>
      <c r="K118" s="35"/>
      <c r="L118" s="35"/>
      <c r="M118" s="35"/>
      <c r="Q118" s="36"/>
    </row>
    <row r="119" spans="10:17" x14ac:dyDescent="0.2">
      <c r="J119" s="35"/>
      <c r="K119" s="35"/>
      <c r="L119" s="35"/>
      <c r="M119" s="35"/>
      <c r="Q119" s="36"/>
    </row>
    <row r="120" spans="10:17" x14ac:dyDescent="0.2">
      <c r="J120" s="35"/>
      <c r="K120" s="35"/>
      <c r="L120" s="35"/>
      <c r="M120" s="35"/>
      <c r="Q120" s="36"/>
    </row>
    <row r="121" spans="10:17" x14ac:dyDescent="0.2">
      <c r="J121" s="35"/>
      <c r="K121" s="35"/>
      <c r="L121" s="35"/>
      <c r="M121" s="35"/>
      <c r="Q121" s="36"/>
    </row>
    <row r="122" spans="10:17" x14ac:dyDescent="0.2">
      <c r="J122" s="35"/>
      <c r="K122" s="35"/>
      <c r="L122" s="35"/>
      <c r="M122" s="35"/>
      <c r="Q122" s="36"/>
    </row>
    <row r="123" spans="10:17" x14ac:dyDescent="0.2">
      <c r="J123" s="35"/>
      <c r="K123" s="35"/>
      <c r="L123" s="35"/>
      <c r="M123" s="35"/>
      <c r="Q123" s="36"/>
    </row>
    <row r="124" spans="10:17" x14ac:dyDescent="0.2">
      <c r="J124" s="35"/>
      <c r="K124" s="35"/>
      <c r="L124" s="35"/>
      <c r="M124" s="35"/>
      <c r="Q124" s="36"/>
    </row>
    <row r="125" spans="10:17" x14ac:dyDescent="0.2">
      <c r="J125" s="35"/>
      <c r="K125" s="35"/>
      <c r="L125" s="35"/>
      <c r="M125" s="35"/>
      <c r="Q125" s="36"/>
    </row>
    <row r="126" spans="10:17" x14ac:dyDescent="0.2">
      <c r="J126" s="35"/>
      <c r="K126" s="35"/>
      <c r="L126" s="35"/>
      <c r="M126" s="35"/>
      <c r="Q126" s="36"/>
    </row>
    <row r="127" spans="10:17" x14ac:dyDescent="0.2">
      <c r="J127" s="35"/>
      <c r="K127" s="35"/>
      <c r="L127" s="35"/>
      <c r="M127" s="35"/>
      <c r="Q127" s="36"/>
    </row>
    <row r="128" spans="10:17" x14ac:dyDescent="0.2">
      <c r="J128" s="35"/>
      <c r="K128" s="35"/>
      <c r="L128" s="35"/>
      <c r="M128" s="35"/>
      <c r="Q128" s="36"/>
    </row>
    <row r="129" spans="10:17" x14ac:dyDescent="0.2">
      <c r="J129" s="35"/>
      <c r="K129" s="35"/>
      <c r="L129" s="35"/>
      <c r="M129" s="35"/>
      <c r="Q129" s="36"/>
    </row>
    <row r="130" spans="10:17" x14ac:dyDescent="0.2">
      <c r="J130" s="35"/>
      <c r="K130" s="35"/>
      <c r="L130" s="35"/>
      <c r="M130" s="35"/>
      <c r="Q130" s="36"/>
    </row>
    <row r="131" spans="10:17" x14ac:dyDescent="0.2">
      <c r="J131" s="35"/>
      <c r="K131" s="35"/>
      <c r="L131" s="35"/>
      <c r="M131" s="35"/>
      <c r="Q131" s="36"/>
    </row>
    <row r="132" spans="10:17" x14ac:dyDescent="0.2">
      <c r="J132" s="35"/>
      <c r="K132" s="35"/>
      <c r="L132" s="35"/>
      <c r="M132" s="35"/>
      <c r="Q132" s="36"/>
    </row>
    <row r="133" spans="10:17" x14ac:dyDescent="0.2">
      <c r="J133" s="35"/>
      <c r="K133" s="35"/>
      <c r="L133" s="35"/>
      <c r="M133" s="35"/>
      <c r="Q133" s="36"/>
    </row>
    <row r="134" spans="10:17" x14ac:dyDescent="0.2">
      <c r="J134" s="35"/>
      <c r="K134" s="35"/>
      <c r="L134" s="35"/>
      <c r="M134" s="35"/>
      <c r="Q134" s="36"/>
    </row>
    <row r="135" spans="10:17" x14ac:dyDescent="0.2">
      <c r="J135" s="35"/>
      <c r="K135" s="35"/>
      <c r="L135" s="35"/>
      <c r="M135" s="35"/>
      <c r="Q135" s="36"/>
    </row>
    <row r="136" spans="10:17" x14ac:dyDescent="0.2">
      <c r="J136" s="35"/>
      <c r="K136" s="35"/>
      <c r="L136" s="35"/>
      <c r="M136" s="35"/>
      <c r="Q136" s="36"/>
    </row>
    <row r="137" spans="10:17" x14ac:dyDescent="0.2">
      <c r="J137" s="35"/>
      <c r="K137" s="35"/>
      <c r="L137" s="35"/>
      <c r="M137" s="35"/>
      <c r="Q137" s="36"/>
    </row>
    <row r="138" spans="10:17" x14ac:dyDescent="0.2">
      <c r="J138" s="35"/>
      <c r="K138" s="35"/>
      <c r="L138" s="35"/>
      <c r="M138" s="35"/>
      <c r="Q138" s="36"/>
    </row>
    <row r="139" spans="10:17" x14ac:dyDescent="0.2">
      <c r="J139" s="35"/>
      <c r="K139" s="35"/>
      <c r="L139" s="35"/>
      <c r="M139" s="35"/>
      <c r="Q139" s="36"/>
    </row>
    <row r="140" spans="10:17" x14ac:dyDescent="0.2">
      <c r="J140" s="35"/>
      <c r="K140" s="35"/>
      <c r="L140" s="35"/>
      <c r="M140" s="35"/>
      <c r="Q140" s="36"/>
    </row>
    <row r="141" spans="10:17" x14ac:dyDescent="0.2">
      <c r="J141" s="35"/>
      <c r="K141" s="35"/>
      <c r="L141" s="35"/>
      <c r="M141" s="35"/>
      <c r="Q141" s="36"/>
    </row>
    <row r="142" spans="10:17" x14ac:dyDescent="0.2">
      <c r="J142" s="35"/>
      <c r="K142" s="35"/>
      <c r="L142" s="35"/>
      <c r="M142" s="35"/>
      <c r="Q142" s="36"/>
    </row>
    <row r="143" spans="10:17" x14ac:dyDescent="0.2">
      <c r="J143" s="35"/>
      <c r="K143" s="35"/>
      <c r="L143" s="35"/>
      <c r="M143" s="35"/>
      <c r="Q143" s="36"/>
    </row>
    <row r="144" spans="10:17" x14ac:dyDescent="0.2">
      <c r="J144" s="35"/>
      <c r="K144" s="35"/>
      <c r="L144" s="35"/>
      <c r="M144" s="35"/>
      <c r="Q144" s="36"/>
    </row>
    <row r="145" spans="10:17" x14ac:dyDescent="0.2">
      <c r="J145" s="35"/>
      <c r="K145" s="35"/>
      <c r="L145" s="35"/>
      <c r="M145" s="35"/>
      <c r="Q145" s="36"/>
    </row>
    <row r="146" spans="10:17" x14ac:dyDescent="0.2">
      <c r="J146" s="35"/>
      <c r="K146" s="35"/>
      <c r="L146" s="35"/>
      <c r="M146" s="35"/>
      <c r="Q146" s="36"/>
    </row>
    <row r="147" spans="10:17" x14ac:dyDescent="0.2">
      <c r="J147" s="35"/>
      <c r="K147" s="35"/>
      <c r="L147" s="35"/>
      <c r="M147" s="35"/>
      <c r="Q147" s="36"/>
    </row>
    <row r="148" spans="10:17" x14ac:dyDescent="0.2">
      <c r="J148" s="35"/>
      <c r="K148" s="35"/>
      <c r="L148" s="35"/>
      <c r="M148" s="35"/>
      <c r="Q148" s="36"/>
    </row>
    <row r="149" spans="10:17" x14ac:dyDescent="0.2">
      <c r="J149" s="35"/>
      <c r="K149" s="35"/>
      <c r="L149" s="35"/>
      <c r="M149" s="35"/>
      <c r="Q149" s="36"/>
    </row>
    <row r="150" spans="10:17" x14ac:dyDescent="0.2">
      <c r="J150" s="35"/>
      <c r="K150" s="35"/>
      <c r="L150" s="35"/>
      <c r="M150" s="35"/>
      <c r="Q150" s="36"/>
    </row>
    <row r="151" spans="10:17" x14ac:dyDescent="0.2">
      <c r="J151" s="35"/>
      <c r="K151" s="35"/>
      <c r="L151" s="35"/>
      <c r="M151" s="35"/>
      <c r="Q151" s="36"/>
    </row>
    <row r="152" spans="10:17" x14ac:dyDescent="0.2">
      <c r="J152" s="35"/>
      <c r="K152" s="35"/>
      <c r="L152" s="35"/>
      <c r="M152" s="35"/>
      <c r="Q152" s="36"/>
    </row>
    <row r="153" spans="10:17" x14ac:dyDescent="0.2">
      <c r="J153" s="35"/>
      <c r="K153" s="35"/>
      <c r="L153" s="35"/>
      <c r="M153" s="35"/>
      <c r="Q153" s="36"/>
    </row>
    <row r="154" spans="10:17" x14ac:dyDescent="0.2">
      <c r="J154" s="35"/>
      <c r="K154" s="35"/>
      <c r="L154" s="35"/>
      <c r="M154" s="35"/>
      <c r="Q154" s="36"/>
    </row>
    <row r="155" spans="10:17" x14ac:dyDescent="0.2">
      <c r="J155" s="35"/>
      <c r="K155" s="35"/>
      <c r="L155" s="35"/>
      <c r="M155" s="35"/>
      <c r="Q155" s="36"/>
    </row>
    <row r="156" spans="10:17" x14ac:dyDescent="0.2">
      <c r="J156" s="35"/>
      <c r="K156" s="35"/>
      <c r="L156" s="35"/>
      <c r="M156" s="35"/>
      <c r="Q156" s="36"/>
    </row>
    <row r="157" spans="10:17" x14ac:dyDescent="0.2">
      <c r="J157" s="35"/>
      <c r="K157" s="35"/>
      <c r="L157" s="35"/>
      <c r="M157" s="35"/>
      <c r="Q157" s="36"/>
    </row>
    <row r="158" spans="10:17" x14ac:dyDescent="0.2">
      <c r="J158" s="35"/>
      <c r="K158" s="35"/>
      <c r="L158" s="35"/>
      <c r="M158" s="35"/>
      <c r="Q158" s="36"/>
    </row>
    <row r="159" spans="10:17" x14ac:dyDescent="0.2">
      <c r="J159" s="35"/>
      <c r="K159" s="35"/>
      <c r="L159" s="35"/>
      <c r="M159" s="35"/>
      <c r="Q159" s="36"/>
    </row>
    <row r="160" spans="10:17" x14ac:dyDescent="0.2">
      <c r="J160" s="35"/>
      <c r="K160" s="35"/>
      <c r="L160" s="35"/>
      <c r="M160" s="35"/>
      <c r="Q160" s="36"/>
    </row>
    <row r="161" spans="10:17" x14ac:dyDescent="0.2">
      <c r="J161" s="35"/>
      <c r="K161" s="35"/>
      <c r="L161" s="35"/>
      <c r="M161" s="35"/>
      <c r="Q161" s="36"/>
    </row>
    <row r="162" spans="10:17" x14ac:dyDescent="0.2">
      <c r="J162" s="35"/>
      <c r="K162" s="35"/>
      <c r="L162" s="35"/>
      <c r="M162" s="35"/>
      <c r="Q162" s="36"/>
    </row>
    <row r="163" spans="10:17" x14ac:dyDescent="0.2">
      <c r="J163" s="35"/>
      <c r="K163" s="35"/>
      <c r="L163" s="35"/>
      <c r="M163" s="35"/>
      <c r="Q163" s="36"/>
    </row>
    <row r="164" spans="10:17" x14ac:dyDescent="0.2">
      <c r="J164" s="35"/>
      <c r="K164" s="35"/>
      <c r="L164" s="35"/>
      <c r="M164" s="35"/>
      <c r="Q164" s="36"/>
    </row>
    <row r="165" spans="10:17" x14ac:dyDescent="0.2">
      <c r="J165" s="35"/>
      <c r="K165" s="35"/>
      <c r="L165" s="35"/>
      <c r="M165" s="35"/>
      <c r="Q165" s="36"/>
    </row>
    <row r="166" spans="10:17" x14ac:dyDescent="0.2">
      <c r="J166" s="35"/>
      <c r="K166" s="35"/>
      <c r="L166" s="35"/>
      <c r="M166" s="35"/>
      <c r="Q166" s="36"/>
    </row>
    <row r="167" spans="10:17" x14ac:dyDescent="0.2">
      <c r="J167" s="35"/>
      <c r="K167" s="35"/>
      <c r="L167" s="35"/>
      <c r="M167" s="35"/>
      <c r="Q167" s="36"/>
    </row>
    <row r="168" spans="10:17" x14ac:dyDescent="0.2">
      <c r="J168" s="35"/>
      <c r="K168" s="35"/>
      <c r="L168" s="35"/>
      <c r="M168" s="35"/>
      <c r="Q168" s="36"/>
    </row>
    <row r="169" spans="10:17" x14ac:dyDescent="0.2">
      <c r="J169" s="35"/>
      <c r="K169" s="35"/>
      <c r="L169" s="35"/>
      <c r="M169" s="35"/>
      <c r="Q169" s="36"/>
    </row>
    <row r="170" spans="10:17" x14ac:dyDescent="0.2">
      <c r="J170" s="35"/>
      <c r="K170" s="35"/>
      <c r="L170" s="35"/>
      <c r="M170" s="35"/>
      <c r="Q170" s="36"/>
    </row>
    <row r="171" spans="10:17" x14ac:dyDescent="0.2">
      <c r="J171" s="35"/>
      <c r="K171" s="35"/>
      <c r="L171" s="35"/>
      <c r="M171" s="35"/>
      <c r="Q171" s="36"/>
    </row>
    <row r="172" spans="10:17" x14ac:dyDescent="0.2">
      <c r="J172" s="35"/>
      <c r="K172" s="35"/>
      <c r="L172" s="35"/>
      <c r="M172" s="35"/>
      <c r="Q172" s="36"/>
    </row>
    <row r="173" spans="10:17" x14ac:dyDescent="0.2">
      <c r="J173" s="35"/>
      <c r="K173" s="35"/>
      <c r="L173" s="35"/>
      <c r="M173" s="35"/>
      <c r="Q173" s="36"/>
    </row>
    <row r="174" spans="10:17" x14ac:dyDescent="0.2">
      <c r="J174" s="35"/>
      <c r="K174" s="35"/>
      <c r="L174" s="35"/>
      <c r="M174" s="35"/>
      <c r="Q174" s="36"/>
    </row>
    <row r="175" spans="10:17" x14ac:dyDescent="0.2">
      <c r="J175" s="35"/>
      <c r="K175" s="35"/>
      <c r="L175" s="35"/>
      <c r="M175" s="35"/>
      <c r="Q175" s="36"/>
    </row>
    <row r="176" spans="10:17" x14ac:dyDescent="0.2">
      <c r="J176" s="35"/>
      <c r="K176" s="35"/>
      <c r="L176" s="35"/>
      <c r="M176" s="35"/>
      <c r="Q176" s="36"/>
    </row>
    <row r="177" spans="10:17" x14ac:dyDescent="0.2">
      <c r="J177" s="35"/>
      <c r="K177" s="35"/>
      <c r="L177" s="35"/>
      <c r="M177" s="35"/>
      <c r="Q177" s="36"/>
    </row>
    <row r="178" spans="10:17" x14ac:dyDescent="0.2">
      <c r="J178" s="35"/>
      <c r="K178" s="35"/>
      <c r="L178" s="35"/>
      <c r="M178" s="35"/>
      <c r="Q178" s="36"/>
    </row>
    <row r="179" spans="10:17" x14ac:dyDescent="0.2">
      <c r="J179" s="35"/>
      <c r="K179" s="35"/>
      <c r="L179" s="35"/>
      <c r="M179" s="35"/>
      <c r="Q179" s="36"/>
    </row>
    <row r="180" spans="10:17" x14ac:dyDescent="0.2">
      <c r="J180" s="35"/>
      <c r="K180" s="35"/>
      <c r="L180" s="35"/>
      <c r="M180" s="35"/>
      <c r="Q180" s="36"/>
    </row>
    <row r="181" spans="10:17" x14ac:dyDescent="0.2">
      <c r="J181" s="35"/>
      <c r="K181" s="35"/>
      <c r="L181" s="35"/>
      <c r="M181" s="35"/>
      <c r="Q181" s="36"/>
    </row>
    <row r="182" spans="10:17" x14ac:dyDescent="0.2">
      <c r="J182" s="35"/>
      <c r="K182" s="35"/>
      <c r="L182" s="35"/>
      <c r="M182" s="35"/>
      <c r="Q182" s="36"/>
    </row>
    <row r="183" spans="10:17" x14ac:dyDescent="0.2">
      <c r="J183" s="35"/>
      <c r="K183" s="35"/>
      <c r="L183" s="35"/>
      <c r="M183" s="35"/>
      <c r="Q183" s="36"/>
    </row>
    <row r="184" spans="10:17" x14ac:dyDescent="0.2">
      <c r="J184" s="35"/>
      <c r="K184" s="35"/>
      <c r="L184" s="35"/>
      <c r="M184" s="35"/>
      <c r="Q184" s="36"/>
    </row>
    <row r="185" spans="10:17" x14ac:dyDescent="0.2">
      <c r="J185" s="35"/>
      <c r="K185" s="35"/>
      <c r="L185" s="35"/>
      <c r="M185" s="35"/>
      <c r="Q185" s="36"/>
    </row>
    <row r="186" spans="10:17" x14ac:dyDescent="0.2">
      <c r="J186" s="35"/>
      <c r="K186" s="35"/>
      <c r="L186" s="35"/>
      <c r="M186" s="35"/>
      <c r="Q186" s="36"/>
    </row>
    <row r="187" spans="10:17" x14ac:dyDescent="0.2">
      <c r="J187" s="35"/>
      <c r="K187" s="35"/>
      <c r="L187" s="35"/>
      <c r="M187" s="35"/>
      <c r="Q187" s="36"/>
    </row>
    <row r="188" spans="10:17" x14ac:dyDescent="0.2">
      <c r="J188" s="35"/>
      <c r="K188" s="35"/>
      <c r="L188" s="35"/>
      <c r="M188" s="35"/>
      <c r="Q188" s="36"/>
    </row>
    <row r="189" spans="10:17" x14ac:dyDescent="0.2">
      <c r="J189" s="35"/>
      <c r="K189" s="35"/>
      <c r="L189" s="35"/>
      <c r="M189" s="35"/>
      <c r="Q189" s="36"/>
    </row>
    <row r="190" spans="10:17" x14ac:dyDescent="0.2">
      <c r="J190" s="35"/>
      <c r="K190" s="35"/>
      <c r="L190" s="35"/>
      <c r="M190" s="35"/>
      <c r="Q190" s="36"/>
    </row>
    <row r="191" spans="10:17" x14ac:dyDescent="0.2">
      <c r="J191" s="35"/>
      <c r="K191" s="35"/>
      <c r="L191" s="35"/>
      <c r="M191" s="35"/>
      <c r="Q191" s="36"/>
    </row>
    <row r="192" spans="10:17" x14ac:dyDescent="0.2">
      <c r="J192" s="35"/>
      <c r="K192" s="35"/>
      <c r="L192" s="35"/>
      <c r="M192" s="35"/>
      <c r="Q192" s="36"/>
    </row>
    <row r="193" spans="10:17" x14ac:dyDescent="0.2">
      <c r="J193" s="35"/>
      <c r="K193" s="35"/>
      <c r="L193" s="35"/>
      <c r="M193" s="35"/>
      <c r="Q193" s="36"/>
    </row>
    <row r="194" spans="10:17" x14ac:dyDescent="0.2">
      <c r="J194" s="35"/>
      <c r="K194" s="35"/>
      <c r="L194" s="35"/>
      <c r="M194" s="35"/>
      <c r="Q194" s="36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 Form</vt:lpstr>
      <vt:lpstr>Inputs</vt:lpstr>
      <vt:lpstr>CSI Counts</vt:lpstr>
      <vt:lpstr>Inputs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gerard_j</dc:creator>
  <cp:lastModifiedBy>Tim Kahle</cp:lastModifiedBy>
  <cp:lastPrinted>2019-01-24T20:46:09Z</cp:lastPrinted>
  <dcterms:created xsi:type="dcterms:W3CDTF">2005-04-07T14:33:00Z</dcterms:created>
  <dcterms:modified xsi:type="dcterms:W3CDTF">2021-03-24T16:17:39Z</dcterms:modified>
</cp:coreProperties>
</file>