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<sst xmlns="http://schemas.openxmlformats.org/spreadsheetml/2006/main" count="312" uniqueCount="219">
  <si>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</si>
  <si>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</si>
  <si>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</si>
  <si>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</si>
  <si>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</si>
  <si>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</si>
  <si>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</si>
  <si>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</si>
  <si>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</si>
  <si>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</si>
  <si>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</si>
  <si>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</si>
  <si>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</si>
  <si>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</si>
  <si>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</si>
  <si>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</si>
  <si>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</si>
  <si>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</si>
  <si>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</si>
  <si>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</si>
  <si>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</si>
  <si>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</si>
  <si>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</si>
  <si>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</si>
  <si>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</si>
  <si>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</si>
  <si>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</si>
  <si>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</si>
  <si>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</si>
  <si>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</si>
  <si>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</si>
  <si>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</si>
  <si>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</si>
  <si>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</si>
  <si>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</si>
  <si>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</si>
  <si>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</si>
  <si>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</si>
  <si>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</si>
  <si>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</si>
  <si>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</si>
  <si>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</si>
  <si>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</si>
  <si>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</si>
  <si>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</si>
  <si>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</si>
  <si>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</si>
  <si>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</si>
  <si>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</si>
  <si>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</si>
  <si>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</si>
  <si>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</si>
  <si>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</si>
  <si>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</si>
  <si>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</si>
  <si>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</si>
  <si>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</si>
  <si>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</si>
  <si>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</si>
  <si>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</si>
  <si>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</si>
  <si>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</si>
  <si>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</si>
  <si>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</si>
  <si>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</si>
  <si>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</si>
  <si>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</si>
  <si>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</si>
  <si>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</si>
  <si>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</si>
  <si>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</si>
  <si>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</si>
  <si>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</si>
  <si>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</si>
  <si>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</si>
  <si>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</si>
  <si>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</si>
  <si>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</si>
  <si>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</si>
  <si>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</si>
  <si>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</si>
  <si>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</si>
  <si>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</si>
  <si>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</si>
  <si>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</si>
  <si>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</si>
  <si>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</si>
  <si>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</si>
  <si>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</si>
  <si>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</si>
  <si>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</si>
  <si>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</si>
  <si>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</si>
  <si>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</si>
  <si>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</si>
  <si>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</si>
  <si>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</si>
  <si>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</si>
  <si>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</si>
  <si>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</si>
  <si>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</si>
  <si>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</si>
  <si>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</si>
  <si>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</si>
  <si>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</si>
  <si>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</si>
  <si>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</si>
  <si>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</si>
  <si>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</si>
  <si>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</si>
  <si>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</si>
  <si>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</si>
  <si>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</si>
  <si>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</si>
  <si>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</si>
  <si>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</si>
  <si>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</si>
  <si>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</si>
  <si>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</si>
  <si>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</si>
  <si>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</si>
  <si>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</si>
  <si>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</si>
  <si>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</si>
  <si>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</si>
  <si>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</si>
  <si>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</si>
  <si>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</si>
  <si>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</si>
  <si>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</si>
  <si>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</si>
  <si>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</si>
  <si>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</si>
  <si>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</si>
  <si>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</si>
  <si>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</si>
  <si>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</si>
  <si>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</si>
  <si>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</si>
  <si>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</si>
  <si>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</si>
  <si>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</si>
  <si>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</si>
  <si>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</si>
  <si>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</si>
  <si>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</si>
  <si>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</si>
  <si>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</si>
  <si>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</si>
  <si>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</si>
  <si>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</si>
  <si>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</si>
  <si>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</si>
  <si>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</si>
  <si>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</si>
  <si>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</si>
  <si>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</si>
  <si>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</si>
  <si>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</si>
  <si>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</si>
  <si>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</si>
  <si>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</si>
  <si>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</si>
  <si>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</si>
  <si>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</si>
  <si>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</si>
  <si>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</si>
  <si>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</si>
  <si>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</si>
  <si>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</si>
  <si>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</si>
  <si>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</si>
  <si>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</si>
  <si>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</si>
  <si>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</si>
  <si>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</si>
  <si>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</si>
  <si>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</si>
  <si>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</si>
  <si>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</si>
  <si>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</si>
  <si>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</si>
  <si>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</si>
  <si>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</si>
  <si>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</si>
  <si>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</si>
  <si>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</si>
  <si>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</si>
  <si>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</si>
  <si>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</si>
  <si>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</si>
  <si>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</si>
  <si>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Total FY 15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</si>
  <si>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</si>
  <si>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</si>
  <si>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</si>
  <si>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</si>
  <si>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</si>
  <si>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</si>
  <si>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</si>
  <si>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</si>
  <si>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</si>
  <si>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</si>
  <si>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</si>
  <si>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</si>
  <si>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</si>
  <si>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</si>
  <si>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Monument Academy (#35093108015A)</t>
  </si>
  <si>
    <t>Classical Academy (#1627104015A)</t>
  </si>
  <si>
    <t>Total for Classical Academy</t>
  </si>
  <si>
    <t>Classical Academy (#1627104015B)</t>
  </si>
  <si>
    <t>24A</t>
  </si>
  <si>
    <t>24B</t>
  </si>
  <si>
    <t>24C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</si>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</sst>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39" fontId="1" fillId="0" borderId="12" xfId="0" applyNumberFormat="1" applyFont="1" applyFill="1" applyBorder="1" applyAlignment="1">
      <alignment/>
    </xf>
    <xf numFmtId="43" fontId="3" fillId="35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/>
    </xf>
    <xf numFmtId="43" fontId="3" fillId="36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 vertical="center"/>
    </xf>
    <xf numFmtId="43" fontId="3" fillId="36" borderId="0" xfId="0" applyNumberFormat="1" applyFont="1" applyFill="1" applyBorder="1" applyAlignment="1" quotePrefix="1">
      <alignment horizontal="left"/>
    </xf>
    <xf numFmtId="0" fontId="1" fillId="36" borderId="0" xfId="0" applyFont="1" applyFill="1" applyBorder="1" applyAlignment="1">
      <alignment horizontal="left"/>
    </xf>
    <xf numFmtId="43" fontId="3" fillId="37" borderId="0" xfId="0" applyNumberFormat="1" applyFont="1" applyFill="1" applyBorder="1" applyAlignment="1" quotePrefix="1">
      <alignment horizontal="left"/>
    </xf>
    <xf numFmtId="43" fontId="3" fillId="38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" fillId="39" borderId="0" xfId="0" applyNumberFormat="1" applyFont="1" applyFill="1" applyBorder="1" applyAlignment="1">
      <alignment/>
    </xf>
    <xf numFmtId="39" fontId="0" fillId="39" borderId="0" xfId="0" applyNumberFormat="1" applyFill="1" applyBorder="1" applyAlignment="1">
      <alignment/>
    </xf>
    <xf numFmtId="39" fontId="1" fillId="39" borderId="11" xfId="0" applyNumberFormat="1" applyFont="1" applyFill="1" applyBorder="1" applyAlignment="1">
      <alignment/>
    </xf>
    <xf numFmtId="39" fontId="1" fillId="39" borderId="0" xfId="0" applyNumberFormat="1" applyFont="1" applyFill="1" applyBorder="1" applyAlignment="1">
      <alignment/>
    </xf>
    <xf numFmtId="39" fontId="3" fillId="39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43" fontId="0" fillId="39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26"/>
  <sheetViews>
    <sheetView tabSelected="1" zoomScale="75" zoomScaleNormal="75" zoomScalePageLayoutView="0" workbookViewId="0" topLeftCell="A1">
      <pane xSplit="3" ySplit="2" topLeftCell="CD64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I677" sqref="CI677"/>
    </sheetView>
  </sheetViews>
  <sheetFormatPr defaultColWidth="9.14062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29" width="16.28125" style="0" customWidth="1"/>
    <col min="30" max="53" width="16.00390625" style="0" bestFit="1" customWidth="1"/>
    <col min="54" max="54" width="18.28125" style="0" bestFit="1" customWidth="1"/>
    <col min="55" max="55" width="18.421875" style="0" bestFit="1" customWidth="1"/>
    <col min="56" max="56" width="18.28125" style="0" bestFit="1" customWidth="1"/>
    <col min="57" max="57" width="18.421875" style="0" bestFit="1" customWidth="1"/>
    <col min="58" max="58" width="18.57421875" style="0" bestFit="1" customWidth="1"/>
    <col min="59" max="59" width="18.421875" style="0" bestFit="1" customWidth="1"/>
    <col min="60" max="60" width="22.140625" style="0" bestFit="1" customWidth="1"/>
    <col min="61" max="61" width="18.28125" style="0" bestFit="1" customWidth="1"/>
    <col min="62" max="62" width="18.421875" style="0" bestFit="1" customWidth="1"/>
    <col min="63" max="63" width="18.57421875" style="0" bestFit="1" customWidth="1"/>
    <col min="64" max="64" width="18.421875" style="0" bestFit="1" customWidth="1"/>
    <col min="65" max="65" width="22.140625" style="0" bestFit="1" customWidth="1"/>
    <col min="66" max="66" width="18.28125" style="0" bestFit="1" customWidth="1"/>
    <col min="67" max="67" width="18.421875" style="0" bestFit="1" customWidth="1"/>
    <col min="68" max="68" width="18.57421875" style="0" bestFit="1" customWidth="1"/>
    <col min="69" max="69" width="18.421875" style="0" bestFit="1" customWidth="1"/>
    <col min="70" max="70" width="18.28125" style="0" bestFit="1" customWidth="1"/>
    <col min="71" max="71" width="18.421875" style="0" bestFit="1" customWidth="1"/>
    <col min="72" max="72" width="18.57421875" style="0" bestFit="1" customWidth="1"/>
    <col min="73" max="73" width="18.421875" style="0" bestFit="1" customWidth="1"/>
    <col min="74" max="74" width="22.140625" style="0" bestFit="1" customWidth="1"/>
    <col min="75" max="75" width="21.28125" style="0" bestFit="1" customWidth="1"/>
    <col min="76" max="76" width="18.28125" style="0" bestFit="1" customWidth="1"/>
    <col min="77" max="77" width="18.421875" style="0" bestFit="1" customWidth="1"/>
    <col min="78" max="78" width="18.57421875" style="0" bestFit="1" customWidth="1"/>
    <col min="79" max="79" width="18.421875" style="0" bestFit="1" customWidth="1"/>
    <col min="80" max="80" width="22.140625" style="0" bestFit="1" customWidth="1"/>
    <col min="81" max="81" width="21.28125" style="0" bestFit="1" customWidth="1"/>
    <col min="82" max="82" width="21.421875" style="0" bestFit="1" customWidth="1"/>
    <col min="83" max="84" width="21.57421875" style="0" bestFit="1" customWidth="1"/>
    <col min="85" max="85" width="21.00390625" style="0" bestFit="1" customWidth="1"/>
    <col min="86" max="86" width="21.421875" style="0" bestFit="1" customWidth="1"/>
    <col min="87" max="87" width="21.421875" style="40" bestFit="1" customWidth="1"/>
    <col min="88" max="88" width="17.421875" style="47" customWidth="1"/>
  </cols>
  <sheetData>
    <row r="1" ht="37.5">
      <c r="C1" s="2" t="s">
        <v>0</v>
      </c>
    </row>
    <row r="2" spans="3:88" ht="15.75">
      <c r="C2" s="3" t="s">
        <v>1</v>
      </c>
      <c r="BX2" s="25">
        <v>41821</v>
      </c>
      <c r="BY2" s="25">
        <v>41852</v>
      </c>
      <c r="BZ2" s="25">
        <v>41883</v>
      </c>
      <c r="CA2" s="25">
        <v>41913</v>
      </c>
      <c r="CB2" s="25">
        <v>41944</v>
      </c>
      <c r="CC2" s="25">
        <v>41974</v>
      </c>
      <c r="CD2" s="25">
        <v>42005</v>
      </c>
      <c r="CE2" s="25">
        <v>42036</v>
      </c>
      <c r="CF2" s="25">
        <v>42064</v>
      </c>
      <c r="CG2" s="25">
        <v>42095</v>
      </c>
      <c r="CH2" s="25">
        <v>42125</v>
      </c>
      <c r="CI2" s="41">
        <v>42156</v>
      </c>
      <c r="CJ2" s="30" t="s">
        <v>192</v>
      </c>
    </row>
    <row r="3" ht="12.75">
      <c r="C3" s="4"/>
    </row>
    <row r="4" spans="2:3" ht="21">
      <c r="B4" s="9" t="s">
        <v>105</v>
      </c>
      <c r="C4" s="32" t="s">
        <v>2</v>
      </c>
    </row>
    <row r="5" spans="3:88" ht="12.75">
      <c r="C5" s="4" t="s">
        <v>3</v>
      </c>
      <c r="BX5" s="26">
        <v>2759.17</v>
      </c>
      <c r="BY5" s="26">
        <v>2759.17</v>
      </c>
      <c r="BZ5" s="26">
        <v>2759.17</v>
      </c>
      <c r="CA5" s="26"/>
      <c r="CB5" s="26"/>
      <c r="CC5" s="26"/>
      <c r="CD5" s="26"/>
      <c r="CE5" s="26"/>
      <c r="CF5" s="26"/>
      <c r="CG5" s="26"/>
      <c r="CH5" s="26"/>
      <c r="CI5" s="42"/>
      <c r="CJ5" s="26">
        <f>SUM(BX5:CI5)</f>
        <v>8277.51</v>
      </c>
    </row>
    <row r="6" spans="3:88" ht="12.75">
      <c r="C6" s="4" t="s">
        <v>4</v>
      </c>
      <c r="BX6" s="48">
        <v>250</v>
      </c>
      <c r="CJ6" s="26">
        <f>SUM(BX6:CI6)</f>
        <v>250</v>
      </c>
    </row>
    <row r="7" spans="3:88" ht="13.5" thickBot="1">
      <c r="C7" s="4" t="s">
        <v>5</v>
      </c>
      <c r="BX7" s="26">
        <f>83333.33+131676.04</f>
        <v>215009.37</v>
      </c>
      <c r="BY7" s="26">
        <f>83333.33+131676.04</f>
        <v>215009.37</v>
      </c>
      <c r="BZ7" s="26">
        <f>83333.33+131676.04</f>
        <v>215009.37</v>
      </c>
      <c r="CA7" s="26"/>
      <c r="CB7" s="26"/>
      <c r="CC7" s="26"/>
      <c r="CD7" s="26"/>
      <c r="CE7" s="26"/>
      <c r="CF7" s="26"/>
      <c r="CG7" s="26"/>
      <c r="CH7" s="26"/>
      <c r="CI7" s="42"/>
      <c r="CJ7" s="26">
        <f>SUM(BX7:CI7)</f>
        <v>645028.11</v>
      </c>
    </row>
    <row r="8" spans="3:88" ht="13.5" thickBot="1">
      <c r="C8" s="6" t="s">
        <v>6</v>
      </c>
      <c r="BX8" s="27">
        <f aca="true" t="shared" si="0" ref="BX8:CI8">SUM(BX5:BX7)</f>
        <v>218018.54</v>
      </c>
      <c r="BY8" s="27">
        <f t="shared" si="0"/>
        <v>217768.54</v>
      </c>
      <c r="BZ8" s="27">
        <f t="shared" si="0"/>
        <v>217768.54</v>
      </c>
      <c r="CA8" s="27">
        <f t="shared" si="0"/>
        <v>0</v>
      </c>
      <c r="CB8" s="27">
        <f t="shared" si="0"/>
        <v>0</v>
      </c>
      <c r="CC8" s="27">
        <f t="shared" si="0"/>
        <v>0</v>
      </c>
      <c r="CD8" s="27">
        <f t="shared" si="0"/>
        <v>0</v>
      </c>
      <c r="CE8" s="27">
        <f t="shared" si="0"/>
        <v>0</v>
      </c>
      <c r="CF8" s="27">
        <f t="shared" si="0"/>
        <v>0</v>
      </c>
      <c r="CG8" s="27">
        <f t="shared" si="0"/>
        <v>0</v>
      </c>
      <c r="CH8" s="27">
        <f t="shared" si="0"/>
        <v>0</v>
      </c>
      <c r="CI8" s="43">
        <f t="shared" si="0"/>
        <v>0</v>
      </c>
      <c r="CJ8" s="31">
        <f>SUM(CJ5:CJ7)</f>
        <v>653555.62</v>
      </c>
    </row>
    <row r="9" ht="12.75">
      <c r="C9" s="4"/>
    </row>
    <row r="10" spans="2:3" ht="21">
      <c r="B10" s="9" t="s">
        <v>105</v>
      </c>
      <c r="C10" s="10" t="s">
        <v>7</v>
      </c>
    </row>
    <row r="11" ht="12.75">
      <c r="C11" s="4" t="str">
        <f>C5</f>
        <v>Debt Reserve</v>
      </c>
    </row>
    <row r="12" ht="12.75">
      <c r="C12" s="4" t="str">
        <f>C6</f>
        <v>Treasury Fee</v>
      </c>
    </row>
    <row r="13" ht="13.5" thickBot="1">
      <c r="C13" s="4" t="str">
        <f>C7</f>
        <v>Intercept</v>
      </c>
    </row>
    <row r="14" ht="13.5" thickBot="1">
      <c r="C14" s="6" t="s">
        <v>8</v>
      </c>
    </row>
    <row r="15" ht="12.75">
      <c r="C15" s="4"/>
    </row>
    <row r="16" spans="2:3" ht="21">
      <c r="B16" s="7" t="s">
        <v>104</v>
      </c>
      <c r="C16" s="8" t="s">
        <v>9</v>
      </c>
    </row>
    <row r="17" ht="12.75">
      <c r="C17" s="4" t="str">
        <f>C11</f>
        <v>Debt Reserve</v>
      </c>
    </row>
    <row r="18" ht="12.75">
      <c r="C18" s="4" t="str">
        <f>C12</f>
        <v>Treasury Fee</v>
      </c>
    </row>
    <row r="19" ht="13.5" thickBot="1">
      <c r="C19" s="4" t="str">
        <f>C13</f>
        <v>Intercept</v>
      </c>
    </row>
    <row r="20" ht="13.5" thickBot="1">
      <c r="C20" s="6" t="s">
        <v>10</v>
      </c>
    </row>
    <row r="21" ht="12.75">
      <c r="C21" s="4"/>
    </row>
    <row r="22" spans="2:3" ht="21">
      <c r="B22" s="7" t="s">
        <v>104</v>
      </c>
      <c r="C22" s="8" t="s">
        <v>54</v>
      </c>
    </row>
    <row r="23" ht="12.75">
      <c r="C23" s="4" t="str">
        <f>C17</f>
        <v>Debt Reserve</v>
      </c>
    </row>
    <row r="24" ht="12.75">
      <c r="C24" s="4" t="str">
        <f>C18</f>
        <v>Treasury Fee</v>
      </c>
    </row>
    <row r="25" ht="13.5" thickBot="1">
      <c r="C25" s="4" t="str">
        <f>C19</f>
        <v>Intercept</v>
      </c>
    </row>
    <row r="26" ht="13.5" thickBot="1">
      <c r="C26" s="6" t="s">
        <v>11</v>
      </c>
    </row>
    <row r="27" ht="12.75">
      <c r="C27" s="4"/>
    </row>
    <row r="28" spans="1:3" ht="21">
      <c r="A28" s="20"/>
      <c r="B28" s="9" t="s">
        <v>105</v>
      </c>
      <c r="C28" s="32" t="s">
        <v>125</v>
      </c>
    </row>
    <row r="29" spans="1:3" ht="12.75">
      <c r="A29" s="20"/>
      <c r="B29" s="20"/>
      <c r="C29" s="4" t="str">
        <f>C23</f>
        <v>Debt Reserve</v>
      </c>
    </row>
    <row r="30" spans="1:3" ht="12.75">
      <c r="A30" s="20"/>
      <c r="B30" s="20"/>
      <c r="C30" s="4" t="str">
        <f>C24</f>
        <v>Treasury Fee</v>
      </c>
    </row>
    <row r="31" spans="1:3" ht="13.5" thickBot="1">
      <c r="A31" s="20"/>
      <c r="B31" s="20"/>
      <c r="C31" s="4" t="str">
        <f>C25</f>
        <v>Intercept</v>
      </c>
    </row>
    <row r="32" spans="1:3" ht="13.5" thickBot="1">
      <c r="A32" s="20"/>
      <c r="B32" s="20"/>
      <c r="C32" s="6" t="s">
        <v>124</v>
      </c>
    </row>
    <row r="33" ht="12.75">
      <c r="C33" s="4"/>
    </row>
    <row r="34" spans="2:3" ht="21">
      <c r="B34" s="9" t="s">
        <v>105</v>
      </c>
      <c r="C34" s="32" t="s">
        <v>12</v>
      </c>
    </row>
    <row r="35" spans="3:88" ht="12.75">
      <c r="C35" s="4" t="str">
        <f>C29</f>
        <v>Debt Reserve</v>
      </c>
      <c r="CJ35"/>
    </row>
    <row r="36" spans="3:88" ht="12.75">
      <c r="C36" s="4" t="str">
        <f>C30</f>
        <v>Treasury Fee</v>
      </c>
      <c r="CJ36"/>
    </row>
    <row r="37" spans="3:88" ht="13.5" thickBot="1">
      <c r="C37" s="4" t="str">
        <f>C31</f>
        <v>Intercept</v>
      </c>
      <c r="CJ37"/>
    </row>
    <row r="38" spans="3:88" ht="13.5" thickBot="1">
      <c r="C38" s="6" t="s">
        <v>13</v>
      </c>
      <c r="CJ38"/>
    </row>
    <row r="39" ht="12.75">
      <c r="C39" s="4"/>
    </row>
    <row r="40" spans="2:3" ht="21">
      <c r="B40" s="9" t="s">
        <v>105</v>
      </c>
      <c r="C40" s="10" t="s">
        <v>14</v>
      </c>
    </row>
    <row r="41" ht="12.75">
      <c r="C41" s="4" t="str">
        <f>C35</f>
        <v>Debt Reserve</v>
      </c>
    </row>
    <row r="42" ht="12.75">
      <c r="C42" s="4" t="str">
        <f>C36</f>
        <v>Treasury Fee</v>
      </c>
    </row>
    <row r="43" ht="13.5" thickBot="1">
      <c r="C43" s="4" t="str">
        <f>C37</f>
        <v>Intercept</v>
      </c>
    </row>
    <row r="44" ht="13.5" thickBot="1">
      <c r="C44" s="6" t="s">
        <v>15</v>
      </c>
    </row>
    <row r="45" ht="12.75">
      <c r="C45" s="4"/>
    </row>
    <row r="46" spans="2:3" ht="21">
      <c r="B46" s="9" t="s">
        <v>105</v>
      </c>
      <c r="C46" s="11" t="s">
        <v>87</v>
      </c>
    </row>
    <row r="47" ht="12.75">
      <c r="C47" s="4" t="str">
        <f>C41</f>
        <v>Debt Reserve</v>
      </c>
    </row>
    <row r="48" ht="12.75">
      <c r="C48" s="4" t="str">
        <f>C42</f>
        <v>Treasury Fee</v>
      </c>
    </row>
    <row r="49" ht="13.5" thickBot="1">
      <c r="C49" s="4" t="str">
        <f>C43</f>
        <v>Intercept</v>
      </c>
    </row>
    <row r="50" ht="13.5" thickBot="1">
      <c r="C50" s="6" t="s">
        <v>16</v>
      </c>
    </row>
    <row r="51" ht="12.75">
      <c r="C51" s="4"/>
    </row>
    <row r="52" spans="2:3" ht="21">
      <c r="B52" s="9" t="s">
        <v>105</v>
      </c>
      <c r="C52" s="10" t="s">
        <v>17</v>
      </c>
    </row>
    <row r="53" ht="12.75">
      <c r="C53" s="4" t="str">
        <f>C47</f>
        <v>Debt Reserve</v>
      </c>
    </row>
    <row r="54" ht="12.75">
      <c r="C54" s="4" t="str">
        <f>C48</f>
        <v>Treasury Fee</v>
      </c>
    </row>
    <row r="55" ht="13.5" thickBot="1">
      <c r="C55" s="4" t="str">
        <f>C49</f>
        <v>Intercept</v>
      </c>
    </row>
    <row r="56" ht="13.5" thickBot="1">
      <c r="C56" s="6" t="s">
        <v>18</v>
      </c>
    </row>
    <row r="57" ht="12.75">
      <c r="C57" s="4"/>
    </row>
    <row r="58" spans="1:3" ht="15.75">
      <c r="A58" s="1">
        <v>1</v>
      </c>
      <c r="C58" s="5" t="s">
        <v>137</v>
      </c>
    </row>
    <row r="59" spans="3:88" ht="12.75">
      <c r="C59" s="4" t="str">
        <f>C53</f>
        <v>Debt Reserve</v>
      </c>
      <c r="BX59" s="26">
        <v>325.42</v>
      </c>
      <c r="BY59" s="26">
        <v>325.42</v>
      </c>
      <c r="BZ59" s="26">
        <v>325.42</v>
      </c>
      <c r="CA59" s="26">
        <v>325.42</v>
      </c>
      <c r="CB59" s="26">
        <v>325.42</v>
      </c>
      <c r="CC59" s="26">
        <v>325.42</v>
      </c>
      <c r="CD59" s="26">
        <v>325.42</v>
      </c>
      <c r="CE59" s="26">
        <v>325.42</v>
      </c>
      <c r="CF59" s="26">
        <v>325.42</v>
      </c>
      <c r="CG59" s="26">
        <v>316.25</v>
      </c>
      <c r="CH59" s="26">
        <v>316.25</v>
      </c>
      <c r="CI59" s="42">
        <v>316.25</v>
      </c>
      <c r="CJ59" s="26">
        <f>SUM(BX59:CI59)</f>
        <v>3877.53</v>
      </c>
    </row>
    <row r="60" spans="3:88" ht="12.75">
      <c r="C60" s="4" t="str">
        <f>C54</f>
        <v>Treasury Fee</v>
      </c>
      <c r="BX60" s="48">
        <v>250</v>
      </c>
      <c r="CJ60" s="26">
        <f>SUM(BX60:CI60)</f>
        <v>250</v>
      </c>
    </row>
    <row r="61" spans="3:88" ht="13.5" thickBot="1">
      <c r="C61" s="4" t="str">
        <f>C55</f>
        <v>Intercept</v>
      </c>
      <c r="BX61" s="26">
        <f>9166.67+16378.13</f>
        <v>25544.8</v>
      </c>
      <c r="BY61" s="26">
        <f>9166.67+16378.13</f>
        <v>25544.8</v>
      </c>
      <c r="BZ61" s="26">
        <f>9166.67+16378.13</f>
        <v>25544.8</v>
      </c>
      <c r="CA61" s="26">
        <f>9166.67+16378.13</f>
        <v>25544.8</v>
      </c>
      <c r="CB61" s="26">
        <f>9583.33+16057.29</f>
        <v>25640.620000000003</v>
      </c>
      <c r="CC61" s="26">
        <f aca="true" t="shared" si="1" ref="CC61:CJ61">9583.33+16057.29</f>
        <v>25640.620000000003</v>
      </c>
      <c r="CD61" s="26">
        <f t="shared" si="1"/>
        <v>25640.620000000003</v>
      </c>
      <c r="CE61" s="26">
        <f t="shared" si="1"/>
        <v>25640.620000000003</v>
      </c>
      <c r="CF61" s="26">
        <f t="shared" si="1"/>
        <v>25640.620000000003</v>
      </c>
      <c r="CG61" s="26">
        <f t="shared" si="1"/>
        <v>25640.620000000003</v>
      </c>
      <c r="CH61" s="26">
        <f t="shared" si="1"/>
        <v>25640.620000000003</v>
      </c>
      <c r="CI61" s="42">
        <f t="shared" si="1"/>
        <v>25640.620000000003</v>
      </c>
      <c r="CJ61" s="26">
        <f>SUM(BX61:CI61)</f>
        <v>307304.16</v>
      </c>
    </row>
    <row r="62" spans="3:88" ht="13.5" thickBot="1">
      <c r="C62" s="6" t="s">
        <v>138</v>
      </c>
      <c r="BX62" s="27">
        <f aca="true" t="shared" si="2" ref="BX62:CJ62">SUM(BX59:BX61)</f>
        <v>26120.22</v>
      </c>
      <c r="BY62" s="27">
        <f t="shared" si="2"/>
        <v>25870.219999999998</v>
      </c>
      <c r="BZ62" s="27">
        <f t="shared" si="2"/>
        <v>25870.219999999998</v>
      </c>
      <c r="CA62" s="27">
        <f t="shared" si="2"/>
        <v>25870.219999999998</v>
      </c>
      <c r="CB62" s="27">
        <f t="shared" si="2"/>
        <v>25966.04</v>
      </c>
      <c r="CC62" s="27">
        <f t="shared" si="2"/>
        <v>25966.04</v>
      </c>
      <c r="CD62" s="27">
        <f t="shared" si="2"/>
        <v>25966.04</v>
      </c>
      <c r="CE62" s="27">
        <f t="shared" si="2"/>
        <v>25966.04</v>
      </c>
      <c r="CF62" s="27">
        <f t="shared" si="2"/>
        <v>25966.04</v>
      </c>
      <c r="CG62" s="27">
        <f t="shared" si="2"/>
        <v>25956.870000000003</v>
      </c>
      <c r="CH62" s="27">
        <f t="shared" si="2"/>
        <v>25956.870000000003</v>
      </c>
      <c r="CI62" s="43">
        <f t="shared" si="2"/>
        <v>25956.870000000003</v>
      </c>
      <c r="CJ62" s="31">
        <f>SUM(CJ59:CJ61)</f>
        <v>311431.69</v>
      </c>
    </row>
    <row r="63" ht="12.75">
      <c r="C63" s="4"/>
    </row>
    <row r="64" spans="2:3" ht="21">
      <c r="B64" s="9" t="s">
        <v>105</v>
      </c>
      <c r="C64" s="10" t="s">
        <v>19</v>
      </c>
    </row>
    <row r="65" ht="12.75">
      <c r="C65" s="4" t="str">
        <f>C59</f>
        <v>Debt Reserve</v>
      </c>
    </row>
    <row r="66" ht="12.75">
      <c r="C66" s="4" t="str">
        <f>C60</f>
        <v>Treasury Fee</v>
      </c>
    </row>
    <row r="67" ht="13.5" thickBot="1">
      <c r="C67" s="4" t="str">
        <f>C61</f>
        <v>Intercept</v>
      </c>
    </row>
    <row r="68" ht="13.5" thickBot="1">
      <c r="C68" s="6" t="s">
        <v>20</v>
      </c>
    </row>
    <row r="69" ht="12.75">
      <c r="C69" s="4"/>
    </row>
    <row r="70" spans="2:3" ht="21">
      <c r="B70" s="9" t="s">
        <v>105</v>
      </c>
      <c r="C70" s="32" t="s">
        <v>21</v>
      </c>
    </row>
    <row r="71" spans="3:88" ht="12.75">
      <c r="C71" s="4" t="str">
        <f>C65</f>
        <v>Debt Reserve</v>
      </c>
      <c r="BX71" s="26">
        <v>1608.75</v>
      </c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42"/>
      <c r="CJ71" s="26">
        <f>SUM(BX71:CI71)</f>
        <v>1608.75</v>
      </c>
    </row>
    <row r="72" spans="3:88" ht="12.75">
      <c r="C72" s="4" t="str">
        <f>C66</f>
        <v>Treasury Fee</v>
      </c>
      <c r="BX72" s="48">
        <v>250</v>
      </c>
      <c r="CJ72" s="26">
        <f>SUM(BX72:CI72)</f>
        <v>250</v>
      </c>
    </row>
    <row r="73" spans="3:88" ht="13.5" thickBot="1">
      <c r="C73" s="4" t="str">
        <f>C67</f>
        <v>Intercept</v>
      </c>
      <c r="BX73" s="26">
        <f>44166.67+83951.46</f>
        <v>128118.13</v>
      </c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42"/>
      <c r="CJ73" s="26">
        <f>SUM(BX73:CI73)</f>
        <v>128118.13</v>
      </c>
    </row>
    <row r="74" spans="3:88" ht="13.5" thickBot="1">
      <c r="C74" s="6" t="s">
        <v>22</v>
      </c>
      <c r="BX74" s="27">
        <f aca="true" t="shared" si="3" ref="BX74:CI74">SUM(BX71:BX73)</f>
        <v>129976.88</v>
      </c>
      <c r="BY74" s="27">
        <f t="shared" si="3"/>
        <v>0</v>
      </c>
      <c r="BZ74" s="27">
        <f t="shared" si="3"/>
        <v>0</v>
      </c>
      <c r="CA74" s="27">
        <f t="shared" si="3"/>
        <v>0</v>
      </c>
      <c r="CB74" s="27">
        <f t="shared" si="3"/>
        <v>0</v>
      </c>
      <c r="CC74" s="27">
        <f t="shared" si="3"/>
        <v>0</v>
      </c>
      <c r="CD74" s="27">
        <f t="shared" si="3"/>
        <v>0</v>
      </c>
      <c r="CE74" s="27">
        <f t="shared" si="3"/>
        <v>0</v>
      </c>
      <c r="CF74" s="27">
        <f t="shared" si="3"/>
        <v>0</v>
      </c>
      <c r="CG74" s="27">
        <f t="shared" si="3"/>
        <v>0</v>
      </c>
      <c r="CH74" s="27">
        <f t="shared" si="3"/>
        <v>0</v>
      </c>
      <c r="CI74" s="43">
        <f t="shared" si="3"/>
        <v>0</v>
      </c>
      <c r="CJ74" s="31">
        <f>SUM(CJ71:CJ73)</f>
        <v>129976.88</v>
      </c>
    </row>
    <row r="75" ht="12.75">
      <c r="C75" s="4"/>
    </row>
    <row r="76" spans="1:3" ht="15.75">
      <c r="A76" s="1">
        <f>A58+1</f>
        <v>2</v>
      </c>
      <c r="C76" s="5" t="s">
        <v>23</v>
      </c>
    </row>
    <row r="77" spans="3:88" ht="12.75">
      <c r="C77" s="4" t="str">
        <f>C71</f>
        <v>Debt Reserve</v>
      </c>
      <c r="BX77" s="26">
        <v>524.58</v>
      </c>
      <c r="BY77" s="26">
        <v>524.58</v>
      </c>
      <c r="BZ77" s="26">
        <v>524.58</v>
      </c>
      <c r="CA77" s="26">
        <v>524.58</v>
      </c>
      <c r="CB77" s="26">
        <v>524.58</v>
      </c>
      <c r="CC77" s="26">
        <v>524.58</v>
      </c>
      <c r="CD77" s="26">
        <v>524.58</v>
      </c>
      <c r="CE77" s="26">
        <v>524.58</v>
      </c>
      <c r="CF77" s="26">
        <v>524.58</v>
      </c>
      <c r="CG77" s="26">
        <v>524.58</v>
      </c>
      <c r="CH77" s="26">
        <v>504.58</v>
      </c>
      <c r="CI77" s="42">
        <v>504.58</v>
      </c>
      <c r="CJ77" s="26">
        <f>SUM(BX77:CI77)</f>
        <v>6254.96</v>
      </c>
    </row>
    <row r="78" spans="3:88" ht="12.75">
      <c r="C78" s="4" t="str">
        <f>C72</f>
        <v>Treasury Fee</v>
      </c>
      <c r="BX78" s="48">
        <v>250</v>
      </c>
      <c r="CJ78" s="26">
        <f>SUM(BX78:CI78)</f>
        <v>250</v>
      </c>
    </row>
    <row r="79" spans="3:88" ht="13.5" thickBot="1">
      <c r="C79" s="4" t="str">
        <f>C73</f>
        <v>Intercept</v>
      </c>
      <c r="BX79" s="26">
        <f aca="true" t="shared" si="4" ref="BX79:CH79">20000+26586.46</f>
        <v>46586.46</v>
      </c>
      <c r="BY79" s="26">
        <f t="shared" si="4"/>
        <v>46586.46</v>
      </c>
      <c r="BZ79" s="26">
        <f t="shared" si="4"/>
        <v>46586.46</v>
      </c>
      <c r="CA79" s="26">
        <f t="shared" si="4"/>
        <v>46586.46</v>
      </c>
      <c r="CB79" s="26">
        <f t="shared" si="4"/>
        <v>46586.46</v>
      </c>
      <c r="CC79" s="26">
        <f t="shared" si="4"/>
        <v>46586.46</v>
      </c>
      <c r="CD79" s="26">
        <f t="shared" si="4"/>
        <v>46586.46</v>
      </c>
      <c r="CE79" s="26">
        <f t="shared" si="4"/>
        <v>46586.46</v>
      </c>
      <c r="CF79" s="26">
        <f t="shared" si="4"/>
        <v>46586.46</v>
      </c>
      <c r="CG79" s="26">
        <f t="shared" si="4"/>
        <v>46586.46</v>
      </c>
      <c r="CH79" s="26">
        <f t="shared" si="4"/>
        <v>46586.46</v>
      </c>
      <c r="CI79" s="42">
        <f>21250+25586.46</f>
        <v>46836.46</v>
      </c>
      <c r="CJ79" s="26">
        <f>SUM(BX79:CI79)</f>
        <v>559287.5200000001</v>
      </c>
    </row>
    <row r="80" spans="3:88" ht="13.5" thickBot="1">
      <c r="C80" s="6" t="s">
        <v>24</v>
      </c>
      <c r="BX80" s="27">
        <f aca="true" t="shared" si="5" ref="BX80:CI80">SUM(BX77:BX79)</f>
        <v>47361.04</v>
      </c>
      <c r="BY80" s="27">
        <f t="shared" si="5"/>
        <v>47111.04</v>
      </c>
      <c r="BZ80" s="27">
        <f t="shared" si="5"/>
        <v>47111.04</v>
      </c>
      <c r="CA80" s="27">
        <f t="shared" si="5"/>
        <v>47111.04</v>
      </c>
      <c r="CB80" s="27">
        <f t="shared" si="5"/>
        <v>47111.04</v>
      </c>
      <c r="CC80" s="27">
        <f t="shared" si="5"/>
        <v>47111.04</v>
      </c>
      <c r="CD80" s="27">
        <f t="shared" si="5"/>
        <v>47111.04</v>
      </c>
      <c r="CE80" s="27">
        <f t="shared" si="5"/>
        <v>47111.04</v>
      </c>
      <c r="CF80" s="27">
        <f t="shared" si="5"/>
        <v>47111.04</v>
      </c>
      <c r="CG80" s="27">
        <f t="shared" si="5"/>
        <v>47111.04</v>
      </c>
      <c r="CH80" s="27">
        <f t="shared" si="5"/>
        <v>47091.04</v>
      </c>
      <c r="CI80" s="43">
        <f t="shared" si="5"/>
        <v>47341.04</v>
      </c>
      <c r="CJ80" s="31">
        <f>SUM(CJ77:CJ79)</f>
        <v>565792.4800000001</v>
      </c>
    </row>
    <row r="81" ht="12.75">
      <c r="C81" s="12"/>
    </row>
    <row r="82" spans="1:3" ht="15.75">
      <c r="A82" s="1">
        <f>A76+1</f>
        <v>3</v>
      </c>
      <c r="C82" s="5" t="s">
        <v>25</v>
      </c>
    </row>
    <row r="83" spans="3:88" ht="12.75">
      <c r="C83" s="4" t="str">
        <f>C77</f>
        <v>Debt Reserve</v>
      </c>
      <c r="BX83" s="26">
        <v>1512.92</v>
      </c>
      <c r="BY83" s="26">
        <v>1512.92</v>
      </c>
      <c r="BZ83" s="26">
        <v>1512.92</v>
      </c>
      <c r="CA83" s="26">
        <v>1512.92</v>
      </c>
      <c r="CB83" s="26">
        <v>1512.92</v>
      </c>
      <c r="CC83" s="26">
        <v>1512.92</v>
      </c>
      <c r="CD83" s="26">
        <v>1512.92</v>
      </c>
      <c r="CE83" s="26">
        <v>1512.92</v>
      </c>
      <c r="CF83" s="26">
        <v>1512.92</v>
      </c>
      <c r="CG83" s="26">
        <v>1512.92</v>
      </c>
      <c r="CH83" s="26">
        <v>1475</v>
      </c>
      <c r="CI83" s="42">
        <v>1475</v>
      </c>
      <c r="CJ83" s="26">
        <f>SUM(BX83:CI83)</f>
        <v>18079.2</v>
      </c>
    </row>
    <row r="84" spans="3:88" ht="12.75">
      <c r="C84" s="4" t="str">
        <f>C78</f>
        <v>Treasury Fee</v>
      </c>
      <c r="BX84" s="48">
        <v>250</v>
      </c>
      <c r="CJ84" s="26">
        <f>SUM(BX84:CI84)</f>
        <v>250</v>
      </c>
    </row>
    <row r="85" spans="3:88" ht="13.5" thickBot="1">
      <c r="C85" s="4" t="str">
        <f>C79</f>
        <v>Intercept</v>
      </c>
      <c r="BX85" s="26">
        <f aca="true" t="shared" si="6" ref="BX85:CG85">37916.67+81104.17</f>
        <v>119020.84</v>
      </c>
      <c r="BY85" s="26">
        <f t="shared" si="6"/>
        <v>119020.84</v>
      </c>
      <c r="BZ85" s="26">
        <f t="shared" si="6"/>
        <v>119020.84</v>
      </c>
      <c r="CA85" s="26">
        <f t="shared" si="6"/>
        <v>119020.84</v>
      </c>
      <c r="CB85" s="26">
        <f t="shared" si="6"/>
        <v>119020.84</v>
      </c>
      <c r="CC85" s="26">
        <f t="shared" si="6"/>
        <v>119020.84</v>
      </c>
      <c r="CD85" s="26">
        <f t="shared" si="6"/>
        <v>119020.84</v>
      </c>
      <c r="CE85" s="26">
        <f t="shared" si="6"/>
        <v>119020.84</v>
      </c>
      <c r="CF85" s="26">
        <f t="shared" si="6"/>
        <v>119020.84</v>
      </c>
      <c r="CG85" s="26">
        <f t="shared" si="6"/>
        <v>119020.84</v>
      </c>
      <c r="CH85" s="26">
        <f>40000+79113.54</f>
        <v>119113.54</v>
      </c>
      <c r="CI85" s="42">
        <f>40000+79113.54</f>
        <v>119113.54</v>
      </c>
      <c r="CJ85" s="26">
        <f>SUM(BX85:CI85)</f>
        <v>1428435.48</v>
      </c>
    </row>
    <row r="86" spans="3:88" ht="13.5" thickBot="1">
      <c r="C86" s="6" t="s">
        <v>26</v>
      </c>
      <c r="BX86" s="27">
        <f aca="true" t="shared" si="7" ref="BX86:CI86">SUM(BX83:BX85)</f>
        <v>120783.76</v>
      </c>
      <c r="BY86" s="27">
        <f t="shared" si="7"/>
        <v>120533.76</v>
      </c>
      <c r="BZ86" s="27">
        <f t="shared" si="7"/>
        <v>120533.76</v>
      </c>
      <c r="CA86" s="27">
        <f t="shared" si="7"/>
        <v>120533.76</v>
      </c>
      <c r="CB86" s="27">
        <f t="shared" si="7"/>
        <v>120533.76</v>
      </c>
      <c r="CC86" s="27">
        <f t="shared" si="7"/>
        <v>120533.76</v>
      </c>
      <c r="CD86" s="27">
        <f t="shared" si="7"/>
        <v>120533.76</v>
      </c>
      <c r="CE86" s="27">
        <f t="shared" si="7"/>
        <v>120533.76</v>
      </c>
      <c r="CF86" s="27">
        <f t="shared" si="7"/>
        <v>120533.76</v>
      </c>
      <c r="CG86" s="27">
        <f t="shared" si="7"/>
        <v>120533.76</v>
      </c>
      <c r="CH86" s="27">
        <f t="shared" si="7"/>
        <v>120588.54</v>
      </c>
      <c r="CI86" s="43">
        <f t="shared" si="7"/>
        <v>120588.54</v>
      </c>
      <c r="CJ86" s="31">
        <f>SUM(CJ83:CJ85)</f>
        <v>1446764.68</v>
      </c>
    </row>
    <row r="87" ht="12.75">
      <c r="C87" s="12"/>
    </row>
    <row r="88" spans="2:3" ht="21">
      <c r="B88" s="9" t="s">
        <v>105</v>
      </c>
      <c r="C88" s="32" t="s">
        <v>27</v>
      </c>
    </row>
    <row r="89" spans="3:88" ht="12.75">
      <c r="C89" s="4" t="str">
        <f>C83</f>
        <v>Debt Reserve</v>
      </c>
      <c r="BX89" s="26">
        <v>1356.67</v>
      </c>
      <c r="BY89" s="26">
        <v>1356.67</v>
      </c>
      <c r="BZ89" s="26">
        <v>1356.67</v>
      </c>
      <c r="CA89" s="26">
        <v>1356.67</v>
      </c>
      <c r="CB89" s="26">
        <v>1356.67</v>
      </c>
      <c r="CC89" s="26">
        <v>1356.67</v>
      </c>
      <c r="CD89" s="26">
        <v>1356.67</v>
      </c>
      <c r="CE89" s="26">
        <v>1356.67</v>
      </c>
      <c r="CF89" s="26">
        <v>1356.67</v>
      </c>
      <c r="CG89" s="26"/>
      <c r="CH89" s="26"/>
      <c r="CI89" s="42"/>
      <c r="CJ89" s="26">
        <f>SUM(BX89:CI89)</f>
        <v>12210.03</v>
      </c>
    </row>
    <row r="90" spans="3:88" ht="12.75">
      <c r="C90" s="4" t="str">
        <f>C84</f>
        <v>Treasury Fee</v>
      </c>
      <c r="BX90" s="48">
        <v>250</v>
      </c>
      <c r="CJ90" s="26">
        <f>SUM(BX90:CI90)</f>
        <v>250</v>
      </c>
    </row>
    <row r="91" spans="3:88" ht="13.5" thickBot="1">
      <c r="C91" s="4" t="str">
        <f>C85</f>
        <v>Intercept</v>
      </c>
      <c r="BX91" s="26">
        <f aca="true" t="shared" si="8" ref="BX91:CF91">43750+69219.79</f>
        <v>112969.79</v>
      </c>
      <c r="BY91" s="26">
        <f t="shared" si="8"/>
        <v>112969.79</v>
      </c>
      <c r="BZ91" s="26">
        <f t="shared" si="8"/>
        <v>112969.79</v>
      </c>
      <c r="CA91" s="26">
        <f t="shared" si="8"/>
        <v>112969.79</v>
      </c>
      <c r="CB91" s="26">
        <f t="shared" si="8"/>
        <v>112969.79</v>
      </c>
      <c r="CC91" s="26">
        <f t="shared" si="8"/>
        <v>112969.79</v>
      </c>
      <c r="CD91" s="26">
        <f t="shared" si="8"/>
        <v>112969.79</v>
      </c>
      <c r="CE91" s="26">
        <f t="shared" si="8"/>
        <v>112969.79</v>
      </c>
      <c r="CF91" s="26">
        <f t="shared" si="8"/>
        <v>112969.79</v>
      </c>
      <c r="CG91" s="26"/>
      <c r="CH91" s="26"/>
      <c r="CI91" s="42"/>
      <c r="CJ91" s="26">
        <f>SUM(BX91:CI91)</f>
        <v>1016728.1100000001</v>
      </c>
    </row>
    <row r="92" spans="3:88" ht="13.5" thickBot="1">
      <c r="C92" s="6" t="s">
        <v>28</v>
      </c>
      <c r="BX92" s="27">
        <f aca="true" t="shared" si="9" ref="BX92:CI92">SUM(BX89:BX91)</f>
        <v>114576.45999999999</v>
      </c>
      <c r="BY92" s="27">
        <f t="shared" si="9"/>
        <v>114326.45999999999</v>
      </c>
      <c r="BZ92" s="27">
        <f t="shared" si="9"/>
        <v>114326.45999999999</v>
      </c>
      <c r="CA92" s="27">
        <f t="shared" si="9"/>
        <v>114326.45999999999</v>
      </c>
      <c r="CB92" s="27">
        <f t="shared" si="9"/>
        <v>114326.45999999999</v>
      </c>
      <c r="CC92" s="27">
        <f t="shared" si="9"/>
        <v>114326.45999999999</v>
      </c>
      <c r="CD92" s="27">
        <f t="shared" si="9"/>
        <v>114326.45999999999</v>
      </c>
      <c r="CE92" s="27">
        <f t="shared" si="9"/>
        <v>114326.45999999999</v>
      </c>
      <c r="CF92" s="27">
        <f t="shared" si="9"/>
        <v>114326.45999999999</v>
      </c>
      <c r="CG92" s="27">
        <f t="shared" si="9"/>
        <v>0</v>
      </c>
      <c r="CH92" s="27">
        <f t="shared" si="9"/>
        <v>0</v>
      </c>
      <c r="CI92" s="43">
        <f t="shared" si="9"/>
        <v>0</v>
      </c>
      <c r="CJ92" s="31">
        <f>SUM(CJ89:CJ91)</f>
        <v>1029188.1400000001</v>
      </c>
    </row>
    <row r="93" ht="12.75">
      <c r="C93" s="12"/>
    </row>
    <row r="94" spans="2:3" ht="21">
      <c r="B94" s="9" t="s">
        <v>105</v>
      </c>
      <c r="C94" s="10" t="s">
        <v>29</v>
      </c>
    </row>
    <row r="95" ht="12.75">
      <c r="C95" s="4" t="str">
        <f>C89</f>
        <v>Debt Reserve</v>
      </c>
    </row>
    <row r="96" ht="12.75">
      <c r="C96" s="4" t="str">
        <f>C90</f>
        <v>Treasury Fee</v>
      </c>
    </row>
    <row r="97" ht="13.5" thickBot="1">
      <c r="C97" s="4" t="str">
        <f>C91</f>
        <v>Intercept</v>
      </c>
    </row>
    <row r="98" ht="13.5" thickBot="1">
      <c r="C98" s="6" t="s">
        <v>30</v>
      </c>
    </row>
    <row r="99" ht="12.75">
      <c r="C99" s="12"/>
    </row>
    <row r="100" spans="2:3" ht="21">
      <c r="B100" s="9" t="s">
        <v>105</v>
      </c>
      <c r="C100" s="10" t="s">
        <v>31</v>
      </c>
    </row>
    <row r="101" ht="12.75">
      <c r="C101" s="4" t="str">
        <f>C95</f>
        <v>Debt Reserve</v>
      </c>
    </row>
    <row r="102" ht="12.75">
      <c r="C102" s="4" t="str">
        <f>C96</f>
        <v>Treasury Fee</v>
      </c>
    </row>
    <row r="103" ht="13.5" thickBot="1">
      <c r="C103" s="4" t="str">
        <f>C97</f>
        <v>Intercept</v>
      </c>
    </row>
    <row r="104" ht="13.5" thickBot="1">
      <c r="C104" s="6" t="s">
        <v>32</v>
      </c>
    </row>
    <row r="105" ht="12.75">
      <c r="C105" s="12"/>
    </row>
    <row r="106" spans="2:3" ht="21">
      <c r="B106" s="9" t="s">
        <v>105</v>
      </c>
      <c r="C106" s="32" t="s">
        <v>33</v>
      </c>
    </row>
    <row r="107" ht="12.75">
      <c r="C107" s="4" t="str">
        <f>C89</f>
        <v>Debt Reserve</v>
      </c>
    </row>
    <row r="108" ht="12.75">
      <c r="C108" s="4" t="str">
        <f>C90</f>
        <v>Treasury Fee</v>
      </c>
    </row>
    <row r="109" ht="13.5" thickBot="1">
      <c r="C109" s="4" t="str">
        <f>C91</f>
        <v>Intercept</v>
      </c>
    </row>
    <row r="110" ht="13.5" thickBot="1">
      <c r="C110" s="6" t="s">
        <v>34</v>
      </c>
    </row>
    <row r="111" ht="12.75">
      <c r="C111" s="12"/>
    </row>
    <row r="112" spans="1:3" ht="15.75">
      <c r="A112" s="1">
        <f>A82+1</f>
        <v>4</v>
      </c>
      <c r="C112" s="5" t="s">
        <v>35</v>
      </c>
    </row>
    <row r="113" spans="3:88" ht="12.75">
      <c r="C113" s="4" t="str">
        <f>C95</f>
        <v>Debt Reserve</v>
      </c>
      <c r="BX113" s="26">
        <v>544.58</v>
      </c>
      <c r="BY113" s="26">
        <v>544.58</v>
      </c>
      <c r="BZ113" s="26">
        <v>544.58</v>
      </c>
      <c r="CA113" s="26">
        <v>544.58</v>
      </c>
      <c r="CB113" s="26">
        <v>528.33</v>
      </c>
      <c r="CC113" s="26">
        <v>528.33</v>
      </c>
      <c r="CD113" s="26">
        <v>528.33</v>
      </c>
      <c r="CE113" s="26">
        <v>528.33</v>
      </c>
      <c r="CF113" s="26">
        <v>528.33</v>
      </c>
      <c r="CG113" s="26">
        <v>528.33</v>
      </c>
      <c r="CH113" s="26">
        <v>528.33</v>
      </c>
      <c r="CI113" s="42">
        <v>528.33</v>
      </c>
      <c r="CJ113" s="26">
        <f>SUM(BX113:CI113)</f>
        <v>6404.96</v>
      </c>
    </row>
    <row r="114" spans="3:88" ht="12.75">
      <c r="C114" s="4" t="str">
        <f>C96</f>
        <v>Treasury Fee</v>
      </c>
      <c r="BX114" s="48">
        <v>250</v>
      </c>
      <c r="CJ114" s="26">
        <f>SUM(BX114:CI114)</f>
        <v>250</v>
      </c>
    </row>
    <row r="115" spans="3:88" ht="13.5" thickBot="1">
      <c r="C115" s="4" t="str">
        <f>C97</f>
        <v>Intercept</v>
      </c>
      <c r="BX115" s="26">
        <f aca="true" t="shared" si="10" ref="BX115:CF115">17083.33+24332.61</f>
        <v>41415.94</v>
      </c>
      <c r="BY115" s="26">
        <f t="shared" si="10"/>
        <v>41415.94</v>
      </c>
      <c r="BZ115" s="26">
        <f t="shared" si="10"/>
        <v>41415.94</v>
      </c>
      <c r="CA115" s="26">
        <f t="shared" si="10"/>
        <v>41415.94</v>
      </c>
      <c r="CB115" s="26">
        <f t="shared" si="10"/>
        <v>41415.94</v>
      </c>
      <c r="CC115" s="26">
        <f t="shared" si="10"/>
        <v>41415.94</v>
      </c>
      <c r="CD115" s="26">
        <f t="shared" si="10"/>
        <v>41415.94</v>
      </c>
      <c r="CE115" s="26">
        <f t="shared" si="10"/>
        <v>41415.94</v>
      </c>
      <c r="CF115" s="26">
        <f t="shared" si="10"/>
        <v>41415.94</v>
      </c>
      <c r="CG115" s="26">
        <f>17500+23713.33</f>
        <v>41213.33</v>
      </c>
      <c r="CH115" s="26">
        <f>17500+23713.33</f>
        <v>41213.33</v>
      </c>
      <c r="CI115" s="42">
        <f>17500+23713.33</f>
        <v>41213.33</v>
      </c>
      <c r="CJ115" s="26">
        <f>SUM(BX115:CI115)</f>
        <v>496383.45000000007</v>
      </c>
    </row>
    <row r="116" spans="3:88" ht="13.5" thickBot="1">
      <c r="C116" s="6" t="s">
        <v>36</v>
      </c>
      <c r="BX116" s="27">
        <f aca="true" t="shared" si="11" ref="BX116:CI116">SUM(BX113:BX115)</f>
        <v>42210.520000000004</v>
      </c>
      <c r="BY116" s="27">
        <f t="shared" si="11"/>
        <v>41960.520000000004</v>
      </c>
      <c r="BZ116" s="27">
        <f t="shared" si="11"/>
        <v>41960.520000000004</v>
      </c>
      <c r="CA116" s="27">
        <f t="shared" si="11"/>
        <v>41960.520000000004</v>
      </c>
      <c r="CB116" s="27">
        <f t="shared" si="11"/>
        <v>41944.270000000004</v>
      </c>
      <c r="CC116" s="27">
        <f t="shared" si="11"/>
        <v>41944.270000000004</v>
      </c>
      <c r="CD116" s="27">
        <f t="shared" si="11"/>
        <v>41944.270000000004</v>
      </c>
      <c r="CE116" s="27">
        <f t="shared" si="11"/>
        <v>41944.270000000004</v>
      </c>
      <c r="CF116" s="27">
        <f t="shared" si="11"/>
        <v>41944.270000000004</v>
      </c>
      <c r="CG116" s="27">
        <f t="shared" si="11"/>
        <v>41741.66</v>
      </c>
      <c r="CH116" s="27">
        <f t="shared" si="11"/>
        <v>41741.66</v>
      </c>
      <c r="CI116" s="43">
        <f t="shared" si="11"/>
        <v>41741.66</v>
      </c>
      <c r="CJ116" s="31">
        <f>SUM(CJ113:CJ115)</f>
        <v>503038.4100000001</v>
      </c>
    </row>
    <row r="117" ht="12.75">
      <c r="C117" s="12"/>
    </row>
    <row r="118" spans="1:3" ht="15.75">
      <c r="A118" s="1">
        <f>A112+1</f>
        <v>5</v>
      </c>
      <c r="C118" s="5" t="s">
        <v>157</v>
      </c>
    </row>
    <row r="119" spans="3:88" ht="12.75">
      <c r="C119" s="4" t="str">
        <f>C101</f>
        <v>Debt Reserve</v>
      </c>
      <c r="BX119" s="26">
        <v>0</v>
      </c>
      <c r="BY119" s="26">
        <v>0</v>
      </c>
      <c r="BZ119" s="26">
        <v>0</v>
      </c>
      <c r="CA119" s="26">
        <v>0</v>
      </c>
      <c r="CB119" s="26">
        <v>0</v>
      </c>
      <c r="CC119" s="26">
        <v>0</v>
      </c>
      <c r="CD119" s="26">
        <v>0</v>
      </c>
      <c r="CE119" s="26">
        <v>0</v>
      </c>
      <c r="CF119" s="26">
        <v>0</v>
      </c>
      <c r="CG119" s="26">
        <v>0</v>
      </c>
      <c r="CH119" s="26">
        <v>0</v>
      </c>
      <c r="CI119" s="42">
        <v>0</v>
      </c>
      <c r="CJ119" s="26">
        <f>SUM(BX119:CI119)</f>
        <v>0</v>
      </c>
    </row>
    <row r="120" spans="3:88" ht="12.75">
      <c r="C120" s="4" t="str">
        <f>C102</f>
        <v>Treasury Fee</v>
      </c>
      <c r="BX120" s="48">
        <v>250</v>
      </c>
      <c r="CJ120" s="26">
        <f>SUM(BX120:CI120)</f>
        <v>250</v>
      </c>
    </row>
    <row r="121" spans="3:88" ht="13.5" thickBot="1">
      <c r="C121" s="4" t="str">
        <f>C103</f>
        <v>Intercept</v>
      </c>
      <c r="BX121" s="26">
        <f aca="true" t="shared" si="12" ref="BX121:CE121">8750+32973.44</f>
        <v>41723.44</v>
      </c>
      <c r="BY121" s="26">
        <f t="shared" si="12"/>
        <v>41723.44</v>
      </c>
      <c r="BZ121" s="26">
        <f t="shared" si="12"/>
        <v>41723.44</v>
      </c>
      <c r="CA121" s="26">
        <f t="shared" si="12"/>
        <v>41723.44</v>
      </c>
      <c r="CB121" s="26">
        <f t="shared" si="12"/>
        <v>41723.44</v>
      </c>
      <c r="CC121" s="26">
        <f t="shared" si="12"/>
        <v>41723.44</v>
      </c>
      <c r="CD121" s="26">
        <f t="shared" si="12"/>
        <v>41723.44</v>
      </c>
      <c r="CE121" s="26">
        <f t="shared" si="12"/>
        <v>41723.44</v>
      </c>
      <c r="CF121" s="26">
        <f>9166.67+32339.06</f>
        <v>41505.73</v>
      </c>
      <c r="CG121" s="26">
        <f>9166.67+32339.06</f>
        <v>41505.73</v>
      </c>
      <c r="CH121" s="26">
        <f>9166.67+32339.06</f>
        <v>41505.73</v>
      </c>
      <c r="CI121" s="42">
        <f>9166.67+32339.06</f>
        <v>41505.73</v>
      </c>
      <c r="CJ121" s="26">
        <f>SUM(BX121:CI121)</f>
        <v>499810.43999999994</v>
      </c>
    </row>
    <row r="122" spans="3:88" ht="13.5" thickBot="1">
      <c r="C122" s="6" t="s">
        <v>37</v>
      </c>
      <c r="BX122" s="27">
        <f aca="true" t="shared" si="13" ref="BX122:CI122">SUM(BX119:BX121)</f>
        <v>41973.44</v>
      </c>
      <c r="BY122" s="27">
        <f t="shared" si="13"/>
        <v>41723.44</v>
      </c>
      <c r="BZ122" s="27">
        <f t="shared" si="13"/>
        <v>41723.44</v>
      </c>
      <c r="CA122" s="27">
        <f t="shared" si="13"/>
        <v>41723.44</v>
      </c>
      <c r="CB122" s="27">
        <f t="shared" si="13"/>
        <v>41723.44</v>
      </c>
      <c r="CC122" s="27">
        <f t="shared" si="13"/>
        <v>41723.44</v>
      </c>
      <c r="CD122" s="27">
        <f t="shared" si="13"/>
        <v>41723.44</v>
      </c>
      <c r="CE122" s="27">
        <f t="shared" si="13"/>
        <v>41723.44</v>
      </c>
      <c r="CF122" s="27">
        <f t="shared" si="13"/>
        <v>41505.73</v>
      </c>
      <c r="CG122" s="27">
        <f t="shared" si="13"/>
        <v>41505.73</v>
      </c>
      <c r="CH122" s="27">
        <f t="shared" si="13"/>
        <v>41505.73</v>
      </c>
      <c r="CI122" s="43">
        <f t="shared" si="13"/>
        <v>41505.73</v>
      </c>
      <c r="CJ122" s="31">
        <f>SUM(CJ119:CJ121)</f>
        <v>500060.43999999994</v>
      </c>
    </row>
    <row r="123" ht="12.75">
      <c r="C123" s="12"/>
    </row>
    <row r="124" spans="1:3" ht="15.75">
      <c r="A124" s="1">
        <f>A118+1</f>
        <v>6</v>
      </c>
      <c r="C124" s="5" t="s">
        <v>38</v>
      </c>
    </row>
    <row r="125" spans="3:88" ht="12.75">
      <c r="C125" s="4" t="str">
        <f>C107</f>
        <v>Debt Reserve</v>
      </c>
      <c r="BX125" s="26">
        <v>440.42</v>
      </c>
      <c r="BY125" s="26">
        <v>440.42</v>
      </c>
      <c r="BZ125" s="26">
        <v>440.42</v>
      </c>
      <c r="CA125" s="26">
        <v>440.42</v>
      </c>
      <c r="CB125" s="26">
        <v>440.42</v>
      </c>
      <c r="CC125" s="26">
        <v>440.42</v>
      </c>
      <c r="CD125" s="26">
        <v>440.42</v>
      </c>
      <c r="CE125" s="26">
        <v>440.42</v>
      </c>
      <c r="CF125" s="26">
        <v>440.42</v>
      </c>
      <c r="CG125" s="26">
        <v>440.42</v>
      </c>
      <c r="CH125" s="26">
        <v>427.92</v>
      </c>
      <c r="CI125" s="42">
        <v>427.92</v>
      </c>
      <c r="CJ125" s="26">
        <f>SUM(BX125:CI125)</f>
        <v>5260.04</v>
      </c>
    </row>
    <row r="126" spans="3:88" ht="12.75">
      <c r="C126" s="4" t="str">
        <f>C108</f>
        <v>Treasury Fee</v>
      </c>
      <c r="BX126" s="48">
        <v>250</v>
      </c>
      <c r="CJ126" s="26">
        <f>SUM(BX126:CI126)</f>
        <v>250</v>
      </c>
    </row>
    <row r="127" spans="3:88" ht="13.5" thickBot="1">
      <c r="C127" s="4" t="str">
        <f>C109</f>
        <v>Intercept</v>
      </c>
      <c r="BX127" s="26">
        <f>12500+22552.61</f>
        <v>35052.61</v>
      </c>
      <c r="BY127" s="26">
        <f>12500+22552.61</f>
        <v>35052.61</v>
      </c>
      <c r="BZ127" s="26">
        <f>12500+22552.61</f>
        <v>35052.61</v>
      </c>
      <c r="CA127" s="26">
        <f>12500+22552.61</f>
        <v>35052.61</v>
      </c>
      <c r="CB127" s="26">
        <f>12500+22552.61</f>
        <v>35052.61</v>
      </c>
      <c r="CC127" s="26">
        <f>12916.67+22077.61</f>
        <v>34994.28</v>
      </c>
      <c r="CD127" s="26">
        <f aca="true" t="shared" si="14" ref="CD127:CJ127">12916.67+22077.61</f>
        <v>34994.28</v>
      </c>
      <c r="CE127" s="26">
        <f t="shared" si="14"/>
        <v>34994.28</v>
      </c>
      <c r="CF127" s="26">
        <f t="shared" si="14"/>
        <v>34994.28</v>
      </c>
      <c r="CG127" s="26">
        <f t="shared" si="14"/>
        <v>34994.28</v>
      </c>
      <c r="CH127" s="26">
        <f t="shared" si="14"/>
        <v>34994.28</v>
      </c>
      <c r="CI127" s="42">
        <f t="shared" si="14"/>
        <v>34994.28</v>
      </c>
      <c r="CJ127" s="26">
        <f>SUM(BX127:CI127)</f>
        <v>420223.0100000001</v>
      </c>
    </row>
    <row r="128" spans="3:88" ht="13.5" thickBot="1">
      <c r="C128" s="6" t="s">
        <v>39</v>
      </c>
      <c r="BX128" s="27">
        <f aca="true" t="shared" si="15" ref="BX128:CI128">SUM(BX125:BX127)</f>
        <v>35743.03</v>
      </c>
      <c r="BY128" s="27">
        <f t="shared" si="15"/>
        <v>35493.03</v>
      </c>
      <c r="BZ128" s="27">
        <f t="shared" si="15"/>
        <v>35493.03</v>
      </c>
      <c r="CA128" s="27">
        <f t="shared" si="15"/>
        <v>35493.03</v>
      </c>
      <c r="CB128" s="27">
        <f t="shared" si="15"/>
        <v>35493.03</v>
      </c>
      <c r="CC128" s="27">
        <f t="shared" si="15"/>
        <v>35434.7</v>
      </c>
      <c r="CD128" s="27">
        <f t="shared" si="15"/>
        <v>35434.7</v>
      </c>
      <c r="CE128" s="27">
        <f t="shared" si="15"/>
        <v>35434.7</v>
      </c>
      <c r="CF128" s="27">
        <f t="shared" si="15"/>
        <v>35434.7</v>
      </c>
      <c r="CG128" s="27">
        <f t="shared" si="15"/>
        <v>35434.7</v>
      </c>
      <c r="CH128" s="27">
        <f t="shared" si="15"/>
        <v>35422.2</v>
      </c>
      <c r="CI128" s="43">
        <f t="shared" si="15"/>
        <v>35422.2</v>
      </c>
      <c r="CJ128" s="31">
        <f>SUM(CJ125:CJ127)</f>
        <v>425733.0500000001</v>
      </c>
    </row>
    <row r="129" ht="12.75">
      <c r="C129" s="12"/>
    </row>
    <row r="130" spans="1:3" ht="15.75">
      <c r="A130" s="1">
        <f>A124+1</f>
        <v>7</v>
      </c>
      <c r="C130" s="5" t="s">
        <v>42</v>
      </c>
    </row>
    <row r="131" spans="3:88" ht="12.75">
      <c r="C131" s="4" t="str">
        <f>C113</f>
        <v>Debt Reserve</v>
      </c>
      <c r="BX131" s="26">
        <v>974.17</v>
      </c>
      <c r="BY131" s="26">
        <v>974.17</v>
      </c>
      <c r="BZ131" s="26">
        <v>974.17</v>
      </c>
      <c r="CA131" s="26">
        <v>974.17</v>
      </c>
      <c r="CB131" s="26">
        <v>974.17</v>
      </c>
      <c r="CC131" s="26">
        <v>974.17</v>
      </c>
      <c r="CD131" s="26">
        <v>974.17</v>
      </c>
      <c r="CE131" s="26">
        <v>974.17</v>
      </c>
      <c r="CF131" s="26">
        <v>974.17</v>
      </c>
      <c r="CG131" s="26">
        <v>974.17</v>
      </c>
      <c r="CH131" s="26">
        <v>974.17</v>
      </c>
      <c r="CI131" s="42">
        <v>942.08</v>
      </c>
      <c r="CJ131" s="26">
        <f>SUM(BX131:CI131)</f>
        <v>11657.949999999999</v>
      </c>
    </row>
    <row r="132" spans="3:88" ht="12.75">
      <c r="C132" s="4" t="str">
        <f>C114</f>
        <v>Treasury Fee</v>
      </c>
      <c r="BX132" s="48">
        <v>250</v>
      </c>
      <c r="CJ132" s="26">
        <f>SUM(BX132:CI132)</f>
        <v>250</v>
      </c>
    </row>
    <row r="133" spans="3:88" ht="13.5" thickBot="1">
      <c r="C133" s="4" t="str">
        <f>C115</f>
        <v>Intercept</v>
      </c>
      <c r="BX133" s="26">
        <f>32083.33+49450.52</f>
        <v>81533.85</v>
      </c>
      <c r="BY133" s="26">
        <f>32083.33+49450.52</f>
        <v>81533.85</v>
      </c>
      <c r="BZ133" s="26">
        <f>33333.33+48327.61</f>
        <v>81660.94</v>
      </c>
      <c r="CA133" s="26">
        <f aca="true" t="shared" si="16" ref="CA133:CJ133">33333.33+48327.61</f>
        <v>81660.94</v>
      </c>
      <c r="CB133" s="26">
        <f t="shared" si="16"/>
        <v>81660.94</v>
      </c>
      <c r="CC133" s="26">
        <f t="shared" si="16"/>
        <v>81660.94</v>
      </c>
      <c r="CD133" s="26">
        <f t="shared" si="16"/>
        <v>81660.94</v>
      </c>
      <c r="CE133" s="26">
        <f t="shared" si="16"/>
        <v>81660.94</v>
      </c>
      <c r="CF133" s="26">
        <f t="shared" si="16"/>
        <v>81660.94</v>
      </c>
      <c r="CG133" s="26">
        <f t="shared" si="16"/>
        <v>81660.94</v>
      </c>
      <c r="CH133" s="26">
        <f t="shared" si="16"/>
        <v>81660.94</v>
      </c>
      <c r="CI133" s="42">
        <f t="shared" si="16"/>
        <v>81660.94</v>
      </c>
      <c r="CJ133" s="26">
        <f>SUM(BX133:CI133)</f>
        <v>979677.0999999999</v>
      </c>
    </row>
    <row r="134" spans="3:88" ht="13.5" thickBot="1">
      <c r="C134" s="6" t="s">
        <v>40</v>
      </c>
      <c r="BX134" s="27">
        <f aca="true" t="shared" si="17" ref="BX134:CI134">SUM(BX131:BX133)</f>
        <v>82758.02</v>
      </c>
      <c r="BY134" s="27">
        <f t="shared" si="17"/>
        <v>82508.02</v>
      </c>
      <c r="BZ134" s="27">
        <f t="shared" si="17"/>
        <v>82635.11</v>
      </c>
      <c r="CA134" s="27">
        <f t="shared" si="17"/>
        <v>82635.11</v>
      </c>
      <c r="CB134" s="27">
        <f t="shared" si="17"/>
        <v>82635.11</v>
      </c>
      <c r="CC134" s="27">
        <f t="shared" si="17"/>
        <v>82635.11</v>
      </c>
      <c r="CD134" s="27">
        <f t="shared" si="17"/>
        <v>82635.11</v>
      </c>
      <c r="CE134" s="27">
        <f t="shared" si="17"/>
        <v>82635.11</v>
      </c>
      <c r="CF134" s="27">
        <f t="shared" si="17"/>
        <v>82635.11</v>
      </c>
      <c r="CG134" s="27">
        <f t="shared" si="17"/>
        <v>82635.11</v>
      </c>
      <c r="CH134" s="27">
        <f t="shared" si="17"/>
        <v>82635.11</v>
      </c>
      <c r="CI134" s="43">
        <f t="shared" si="17"/>
        <v>82603.02</v>
      </c>
      <c r="CJ134" s="31">
        <f>SUM(CJ131:CJ133)</f>
        <v>991585.0499999998</v>
      </c>
    </row>
    <row r="135" ht="12.75">
      <c r="C135" s="12"/>
    </row>
    <row r="136" spans="2:3" ht="21">
      <c r="B136" s="9" t="s">
        <v>105</v>
      </c>
      <c r="C136" s="10" t="s">
        <v>43</v>
      </c>
    </row>
    <row r="137" ht="12.75">
      <c r="C137" s="4" t="str">
        <f>C119</f>
        <v>Debt Reserve</v>
      </c>
    </row>
    <row r="138" ht="12.75">
      <c r="C138" s="4" t="str">
        <f>C120</f>
        <v>Treasury Fee</v>
      </c>
    </row>
    <row r="139" ht="13.5" thickBot="1">
      <c r="C139" s="4" t="str">
        <f>C121</f>
        <v>Intercept</v>
      </c>
    </row>
    <row r="140" ht="13.5" thickBot="1">
      <c r="C140" s="6" t="s">
        <v>44</v>
      </c>
    </row>
    <row r="141" ht="12.75">
      <c r="C141" s="12"/>
    </row>
    <row r="142" spans="1:3" ht="15.75">
      <c r="A142" s="1">
        <f>A130+1</f>
        <v>8</v>
      </c>
      <c r="C142" s="5" t="s">
        <v>45</v>
      </c>
    </row>
    <row r="143" spans="3:88" ht="12.75">
      <c r="C143" s="4" t="str">
        <f>C125</f>
        <v>Debt Reserve</v>
      </c>
      <c r="BX143" s="26">
        <v>541.67</v>
      </c>
      <c r="BY143" s="26">
        <v>541.67</v>
      </c>
      <c r="BZ143" s="26">
        <v>526.67</v>
      </c>
      <c r="CA143" s="26">
        <v>526.67</v>
      </c>
      <c r="CB143" s="26">
        <v>526.67</v>
      </c>
      <c r="CC143" s="26">
        <v>526.67</v>
      </c>
      <c r="CD143" s="26">
        <v>526.67</v>
      </c>
      <c r="CE143" s="26">
        <v>526.67</v>
      </c>
      <c r="CF143" s="26">
        <v>526.67</v>
      </c>
      <c r="CG143" s="26">
        <v>526.67</v>
      </c>
      <c r="CH143" s="26">
        <v>526.67</v>
      </c>
      <c r="CI143" s="42">
        <v>526.67</v>
      </c>
      <c r="CJ143" s="26">
        <f>SUM(BX143:CI143)</f>
        <v>6350.04</v>
      </c>
    </row>
    <row r="144" spans="3:88" ht="12.75">
      <c r="C144" s="4" t="str">
        <f>C126</f>
        <v>Treasury Fee</v>
      </c>
      <c r="BX144" s="48">
        <v>250</v>
      </c>
      <c r="CJ144" s="26">
        <f>SUM(BX144:CI144)</f>
        <v>250</v>
      </c>
    </row>
    <row r="145" spans="3:88" ht="13.5" thickBot="1">
      <c r="C145" s="4" t="str">
        <f>C127</f>
        <v>Intercept</v>
      </c>
      <c r="BX145" s="26">
        <f>15416.67+28420.63</f>
        <v>43837.3</v>
      </c>
      <c r="BY145" s="26">
        <f>15416.67+28420.63</f>
        <v>43837.3</v>
      </c>
      <c r="BZ145" s="26">
        <f>15416.67+28420.63</f>
        <v>43837.3</v>
      </c>
      <c r="CA145" s="26">
        <f>15416.67+28420.63</f>
        <v>43837.3</v>
      </c>
      <c r="CB145" s="26">
        <f>15416.67+28420.63</f>
        <v>43837.3</v>
      </c>
      <c r="CC145" s="26">
        <f>16250+27842.5</f>
        <v>44092.5</v>
      </c>
      <c r="CD145" s="26">
        <f aca="true" t="shared" si="18" ref="CD145:CJ145">16250+27842.5</f>
        <v>44092.5</v>
      </c>
      <c r="CE145" s="26">
        <f t="shared" si="18"/>
        <v>44092.5</v>
      </c>
      <c r="CF145" s="26">
        <f t="shared" si="18"/>
        <v>44092.5</v>
      </c>
      <c r="CG145" s="26">
        <f t="shared" si="18"/>
        <v>44092.5</v>
      </c>
      <c r="CH145" s="26">
        <f t="shared" si="18"/>
        <v>44092.5</v>
      </c>
      <c r="CI145" s="42">
        <f t="shared" si="18"/>
        <v>44092.5</v>
      </c>
      <c r="CJ145" s="26">
        <f>SUM(BX145:CI145)</f>
        <v>527834</v>
      </c>
    </row>
    <row r="146" spans="3:88" ht="13.5" thickBot="1">
      <c r="C146" s="6" t="s">
        <v>46</v>
      </c>
      <c r="BX146" s="27">
        <f aca="true" t="shared" si="19" ref="BX146:CI146">SUM(BX143:BX145)</f>
        <v>44628.97</v>
      </c>
      <c r="BY146" s="27">
        <f t="shared" si="19"/>
        <v>44378.97</v>
      </c>
      <c r="BZ146" s="27">
        <f t="shared" si="19"/>
        <v>44363.97</v>
      </c>
      <c r="CA146" s="27">
        <f t="shared" si="19"/>
        <v>44363.97</v>
      </c>
      <c r="CB146" s="27">
        <f t="shared" si="19"/>
        <v>44363.97</v>
      </c>
      <c r="CC146" s="27">
        <f t="shared" si="19"/>
        <v>44619.17</v>
      </c>
      <c r="CD146" s="27">
        <f t="shared" si="19"/>
        <v>44619.17</v>
      </c>
      <c r="CE146" s="27">
        <f t="shared" si="19"/>
        <v>44619.17</v>
      </c>
      <c r="CF146" s="27">
        <f t="shared" si="19"/>
        <v>44619.17</v>
      </c>
      <c r="CG146" s="27">
        <f t="shared" si="19"/>
        <v>44619.17</v>
      </c>
      <c r="CH146" s="27">
        <f t="shared" si="19"/>
        <v>44619.17</v>
      </c>
      <c r="CI146" s="43">
        <f t="shared" si="19"/>
        <v>44619.17</v>
      </c>
      <c r="CJ146" s="31">
        <f>SUM(CJ143:CJ145)</f>
        <v>534434.04</v>
      </c>
    </row>
    <row r="147" ht="12.75">
      <c r="C147" s="12"/>
    </row>
    <row r="148" spans="2:3" ht="21">
      <c r="B148" s="9" t="s">
        <v>105</v>
      </c>
      <c r="C148" s="32" t="s">
        <v>47</v>
      </c>
    </row>
    <row r="149" spans="3:88" ht="12.75">
      <c r="C149" s="4" t="str">
        <f>C131</f>
        <v>Debt Reserve</v>
      </c>
      <c r="CJ149"/>
    </row>
    <row r="150" spans="3:88" ht="12.75">
      <c r="C150" s="4" t="str">
        <f>C132</f>
        <v>Treasury Fee</v>
      </c>
      <c r="CJ150"/>
    </row>
    <row r="151" spans="3:88" ht="13.5" thickBot="1">
      <c r="C151" s="4" t="str">
        <f>C133</f>
        <v>Intercept</v>
      </c>
      <c r="CJ151"/>
    </row>
    <row r="152" spans="3:88" ht="13.5" thickBot="1">
      <c r="C152" s="6" t="s">
        <v>48</v>
      </c>
      <c r="CJ152"/>
    </row>
    <row r="153" ht="12.75">
      <c r="C153" s="12"/>
    </row>
    <row r="154" spans="1:3" ht="15.75">
      <c r="A154" s="1">
        <f>A142+1</f>
        <v>9</v>
      </c>
      <c r="C154" s="5" t="s">
        <v>49</v>
      </c>
    </row>
    <row r="155" spans="3:88" ht="12.75">
      <c r="C155" s="4" t="str">
        <f>C137</f>
        <v>Debt Reserve</v>
      </c>
      <c r="BX155" s="26">
        <v>0</v>
      </c>
      <c r="BY155" s="26">
        <v>0</v>
      </c>
      <c r="BZ155" s="26">
        <v>0</v>
      </c>
      <c r="CA155" s="26">
        <v>0</v>
      </c>
      <c r="CB155" s="26">
        <v>0</v>
      </c>
      <c r="CC155" s="26">
        <v>0</v>
      </c>
      <c r="CD155" s="26">
        <v>0</v>
      </c>
      <c r="CE155" s="26">
        <v>0</v>
      </c>
      <c r="CF155" s="26">
        <v>0</v>
      </c>
      <c r="CG155" s="26">
        <v>0</v>
      </c>
      <c r="CH155" s="26">
        <v>0</v>
      </c>
      <c r="CI155" s="42">
        <v>0</v>
      </c>
      <c r="CJ155" s="26">
        <f>SUM(BX155:CI155)</f>
        <v>0</v>
      </c>
    </row>
    <row r="156" spans="3:88" ht="12.75">
      <c r="C156" s="4" t="str">
        <f>C138</f>
        <v>Treasury Fee</v>
      </c>
      <c r="BX156" s="48">
        <v>250</v>
      </c>
      <c r="CJ156" s="26">
        <f>SUM(BX156:CI156)</f>
        <v>250</v>
      </c>
    </row>
    <row r="157" spans="3:88" ht="13.5" thickBot="1">
      <c r="C157" s="4" t="str">
        <f>C139</f>
        <v>Intercept</v>
      </c>
      <c r="BX157" s="26">
        <f aca="true" t="shared" si="20" ref="BX157:CG157">8750+28600</f>
        <v>37350</v>
      </c>
      <c r="BY157" s="26">
        <f t="shared" si="20"/>
        <v>37350</v>
      </c>
      <c r="BZ157" s="26">
        <f t="shared" si="20"/>
        <v>37350</v>
      </c>
      <c r="CA157" s="26">
        <f t="shared" si="20"/>
        <v>37350</v>
      </c>
      <c r="CB157" s="26">
        <f t="shared" si="20"/>
        <v>37350</v>
      </c>
      <c r="CC157" s="26">
        <f t="shared" si="20"/>
        <v>37350</v>
      </c>
      <c r="CD157" s="26">
        <f t="shared" si="20"/>
        <v>37350</v>
      </c>
      <c r="CE157" s="26">
        <f t="shared" si="20"/>
        <v>37350</v>
      </c>
      <c r="CF157" s="26">
        <f t="shared" si="20"/>
        <v>37350</v>
      </c>
      <c r="CG157" s="26">
        <f t="shared" si="20"/>
        <v>37350</v>
      </c>
      <c r="CH157" s="26">
        <f>9166.67+28031.25</f>
        <v>37197.92</v>
      </c>
      <c r="CI157" s="42">
        <f>9166.67+28031.25</f>
        <v>37197.92</v>
      </c>
      <c r="CJ157" s="26">
        <f>SUM(BX157:CI157)</f>
        <v>447895.83999999997</v>
      </c>
    </row>
    <row r="158" spans="3:88" ht="13.5" thickBot="1">
      <c r="C158" s="6" t="s">
        <v>50</v>
      </c>
      <c r="BX158" s="27">
        <f aca="true" t="shared" si="21" ref="BX158:CI158">SUM(BX155:BX157)</f>
        <v>37600</v>
      </c>
      <c r="BY158" s="27">
        <f t="shared" si="21"/>
        <v>37350</v>
      </c>
      <c r="BZ158" s="27">
        <f t="shared" si="21"/>
        <v>37350</v>
      </c>
      <c r="CA158" s="27">
        <f t="shared" si="21"/>
        <v>37350</v>
      </c>
      <c r="CB158" s="27">
        <f t="shared" si="21"/>
        <v>37350</v>
      </c>
      <c r="CC158" s="27">
        <f t="shared" si="21"/>
        <v>37350</v>
      </c>
      <c r="CD158" s="27">
        <f t="shared" si="21"/>
        <v>37350</v>
      </c>
      <c r="CE158" s="27">
        <f t="shared" si="21"/>
        <v>37350</v>
      </c>
      <c r="CF158" s="27">
        <f t="shared" si="21"/>
        <v>37350</v>
      </c>
      <c r="CG158" s="27">
        <f t="shared" si="21"/>
        <v>37350</v>
      </c>
      <c r="CH158" s="27">
        <f t="shared" si="21"/>
        <v>37197.92</v>
      </c>
      <c r="CI158" s="43">
        <f t="shared" si="21"/>
        <v>37197.92</v>
      </c>
      <c r="CJ158" s="31">
        <f>SUM(CJ155:CJ157)</f>
        <v>448145.83999999997</v>
      </c>
    </row>
    <row r="159" ht="12.75">
      <c r="C159" s="12"/>
    </row>
    <row r="160" spans="2:3" ht="21">
      <c r="B160" s="9" t="s">
        <v>105</v>
      </c>
      <c r="C160" s="10" t="s">
        <v>51</v>
      </c>
    </row>
    <row r="161" ht="12.75">
      <c r="C161" s="4" t="str">
        <f>C143</f>
        <v>Debt Reserve</v>
      </c>
    </row>
    <row r="162" ht="12.75">
      <c r="C162" s="4" t="str">
        <f>C144</f>
        <v>Treasury Fee</v>
      </c>
    </row>
    <row r="163" ht="13.5" thickBot="1">
      <c r="C163" s="4" t="str">
        <f>C145</f>
        <v>Intercept</v>
      </c>
    </row>
    <row r="164" ht="13.5" thickBot="1">
      <c r="C164" s="6" t="s">
        <v>52</v>
      </c>
    </row>
    <row r="165" ht="12.75">
      <c r="C165" s="12"/>
    </row>
    <row r="166" spans="1:3" ht="21">
      <c r="A166" s="1">
        <f>+A154+1</f>
        <v>10</v>
      </c>
      <c r="B166" s="33" t="s">
        <v>103</v>
      </c>
      <c r="C166" s="34" t="s">
        <v>55</v>
      </c>
    </row>
    <row r="167" spans="3:88" ht="12.75">
      <c r="C167" s="4" t="str">
        <f>C149</f>
        <v>Debt Reserve</v>
      </c>
      <c r="BX167" s="26">
        <v>0</v>
      </c>
      <c r="BY167" s="26">
        <v>0</v>
      </c>
      <c r="BZ167" s="26">
        <v>0</v>
      </c>
      <c r="CA167" s="26">
        <v>0</v>
      </c>
      <c r="CB167" s="26">
        <v>0</v>
      </c>
      <c r="CC167" s="26">
        <v>0</v>
      </c>
      <c r="CD167" s="26">
        <v>0</v>
      </c>
      <c r="CE167" s="26">
        <v>0</v>
      </c>
      <c r="CF167" s="26">
        <v>0</v>
      </c>
      <c r="CG167" s="26">
        <v>0</v>
      </c>
      <c r="CH167" s="26">
        <v>0</v>
      </c>
      <c r="CI167" s="42">
        <v>0</v>
      </c>
      <c r="CJ167" s="26">
        <f>SUM(BX167:CI167)</f>
        <v>0</v>
      </c>
    </row>
    <row r="168" spans="3:88" ht="12.75">
      <c r="C168" s="4" t="str">
        <f>C150</f>
        <v>Treasury Fee</v>
      </c>
      <c r="BX168" s="48">
        <v>250</v>
      </c>
      <c r="CJ168" s="26">
        <f>SUM(BX168:CI168)</f>
        <v>250</v>
      </c>
    </row>
    <row r="169" spans="3:88" ht="13.5" thickBot="1">
      <c r="C169" s="4" t="str">
        <f>C151</f>
        <v>Intercept</v>
      </c>
      <c r="BX169" s="26">
        <f aca="true" t="shared" si="22" ref="BX169:CF169">8750+31879.17</f>
        <v>40629.17</v>
      </c>
      <c r="BY169" s="26">
        <f t="shared" si="22"/>
        <v>40629.17</v>
      </c>
      <c r="BZ169" s="26">
        <f t="shared" si="22"/>
        <v>40629.17</v>
      </c>
      <c r="CA169" s="26">
        <f t="shared" si="22"/>
        <v>40629.17</v>
      </c>
      <c r="CB169" s="26">
        <f t="shared" si="22"/>
        <v>40629.17</v>
      </c>
      <c r="CC169" s="26">
        <f t="shared" si="22"/>
        <v>40629.17</v>
      </c>
      <c r="CD169" s="26">
        <f t="shared" si="22"/>
        <v>40629.17</v>
      </c>
      <c r="CE169" s="26">
        <f t="shared" si="22"/>
        <v>40629.17</v>
      </c>
      <c r="CF169" s="26">
        <f t="shared" si="22"/>
        <v>40629.17</v>
      </c>
      <c r="CG169" s="26">
        <f>9583.33+31266.67</f>
        <v>40850</v>
      </c>
      <c r="CH169" s="26">
        <f>9583.33+31266.67</f>
        <v>40850</v>
      </c>
      <c r="CI169" s="42">
        <f>9583.33+31266.67</f>
        <v>40850</v>
      </c>
      <c r="CJ169" s="26">
        <f>SUM(BX169:CI169)</f>
        <v>488212.5299999999</v>
      </c>
    </row>
    <row r="170" spans="3:88" ht="13.5" thickBot="1">
      <c r="C170" s="6" t="s">
        <v>53</v>
      </c>
      <c r="BX170" s="27">
        <f aca="true" t="shared" si="23" ref="BX170:CI170">SUM(BX167:BX169)</f>
        <v>40879.17</v>
      </c>
      <c r="BY170" s="27">
        <f t="shared" si="23"/>
        <v>40629.17</v>
      </c>
      <c r="BZ170" s="27">
        <f t="shared" si="23"/>
        <v>40629.17</v>
      </c>
      <c r="CA170" s="27">
        <f t="shared" si="23"/>
        <v>40629.17</v>
      </c>
      <c r="CB170" s="27">
        <f t="shared" si="23"/>
        <v>40629.17</v>
      </c>
      <c r="CC170" s="27">
        <f t="shared" si="23"/>
        <v>40629.17</v>
      </c>
      <c r="CD170" s="27">
        <f t="shared" si="23"/>
        <v>40629.17</v>
      </c>
      <c r="CE170" s="27">
        <f t="shared" si="23"/>
        <v>40629.17</v>
      </c>
      <c r="CF170" s="27">
        <f t="shared" si="23"/>
        <v>40629.17</v>
      </c>
      <c r="CG170" s="27">
        <f t="shared" si="23"/>
        <v>40850</v>
      </c>
      <c r="CH170" s="27">
        <f t="shared" si="23"/>
        <v>40850</v>
      </c>
      <c r="CI170" s="43">
        <f t="shared" si="23"/>
        <v>40850</v>
      </c>
      <c r="CJ170" s="31">
        <f>SUM(CJ167:CJ169)</f>
        <v>488462.5299999999</v>
      </c>
    </row>
    <row r="171" ht="12.75">
      <c r="C171" s="12"/>
    </row>
    <row r="172" spans="1:3" ht="15.75">
      <c r="A172" s="1">
        <f>A166+1</f>
        <v>11</v>
      </c>
      <c r="C172" s="5" t="s">
        <v>57</v>
      </c>
    </row>
    <row r="173" spans="3:88" ht="12.75">
      <c r="C173" s="4" t="str">
        <f>C155</f>
        <v>Debt Reserve</v>
      </c>
      <c r="BX173" s="26">
        <v>582.08</v>
      </c>
      <c r="BY173" s="26">
        <v>582.08</v>
      </c>
      <c r="BZ173" s="26">
        <v>567.92</v>
      </c>
      <c r="CA173" s="26">
        <v>567.92</v>
      </c>
      <c r="CB173" s="26">
        <v>567.92</v>
      </c>
      <c r="CC173" s="26">
        <v>567.92</v>
      </c>
      <c r="CD173" s="26">
        <v>567.92</v>
      </c>
      <c r="CE173" s="26">
        <v>567.92</v>
      </c>
      <c r="CF173" s="26">
        <v>567.92</v>
      </c>
      <c r="CG173" s="26">
        <v>567.92</v>
      </c>
      <c r="CH173" s="26">
        <v>567.92</v>
      </c>
      <c r="CI173" s="42">
        <v>567.92</v>
      </c>
      <c r="CJ173" s="26">
        <f>SUM(BX173:CI173)</f>
        <v>6843.360000000001</v>
      </c>
    </row>
    <row r="174" spans="3:88" ht="12.75">
      <c r="C174" s="4" t="str">
        <f>C156</f>
        <v>Treasury Fee</v>
      </c>
      <c r="BX174" s="48">
        <v>250</v>
      </c>
      <c r="CJ174" s="26">
        <f>SUM(BX174:CI174)</f>
        <v>250</v>
      </c>
    </row>
    <row r="175" spans="3:88" ht="13.5" thickBot="1">
      <c r="C175" s="4" t="str">
        <f>C157</f>
        <v>Intercept</v>
      </c>
      <c r="BX175" s="26">
        <f>14166.67+27325.21</f>
        <v>41491.88</v>
      </c>
      <c r="BY175" s="26">
        <f>14166.67+27325.21</f>
        <v>41491.88</v>
      </c>
      <c r="BZ175" s="26">
        <f>14166.67+27325.21</f>
        <v>41491.88</v>
      </c>
      <c r="CA175" s="26">
        <f>14166.67+27325.21</f>
        <v>41491.88</v>
      </c>
      <c r="CB175" s="26">
        <f>14166.67+27325.21</f>
        <v>41491.88</v>
      </c>
      <c r="CC175" s="26">
        <f>15000+26616.88</f>
        <v>41616.880000000005</v>
      </c>
      <c r="CD175" s="26">
        <f aca="true" t="shared" si="24" ref="CD175:CJ175">15000+26616.88</f>
        <v>41616.880000000005</v>
      </c>
      <c r="CE175" s="26">
        <f t="shared" si="24"/>
        <v>41616.880000000005</v>
      </c>
      <c r="CF175" s="26">
        <f t="shared" si="24"/>
        <v>41616.880000000005</v>
      </c>
      <c r="CG175" s="26">
        <f t="shared" si="24"/>
        <v>41616.880000000005</v>
      </c>
      <c r="CH175" s="26">
        <f t="shared" si="24"/>
        <v>41616.880000000005</v>
      </c>
      <c r="CI175" s="42">
        <f t="shared" si="24"/>
        <v>41616.880000000005</v>
      </c>
      <c r="CJ175" s="26">
        <f>SUM(BX175:CI175)</f>
        <v>498777.56000000006</v>
      </c>
    </row>
    <row r="176" spans="3:88" ht="13.5" thickBot="1">
      <c r="C176" s="6" t="s">
        <v>58</v>
      </c>
      <c r="BX176" s="27">
        <f aca="true" t="shared" si="25" ref="BX176:CI176">SUM(BX173:BX175)</f>
        <v>42323.96</v>
      </c>
      <c r="BY176" s="27">
        <f t="shared" si="25"/>
        <v>42073.96</v>
      </c>
      <c r="BZ176" s="27">
        <f t="shared" si="25"/>
        <v>42059.799999999996</v>
      </c>
      <c r="CA176" s="27">
        <f t="shared" si="25"/>
        <v>42059.799999999996</v>
      </c>
      <c r="CB176" s="27">
        <f t="shared" si="25"/>
        <v>42059.799999999996</v>
      </c>
      <c r="CC176" s="27">
        <f t="shared" si="25"/>
        <v>42184.8</v>
      </c>
      <c r="CD176" s="27">
        <f t="shared" si="25"/>
        <v>42184.8</v>
      </c>
      <c r="CE176" s="27">
        <f t="shared" si="25"/>
        <v>42184.8</v>
      </c>
      <c r="CF176" s="27">
        <f t="shared" si="25"/>
        <v>42184.8</v>
      </c>
      <c r="CG176" s="27">
        <f t="shared" si="25"/>
        <v>42184.8</v>
      </c>
      <c r="CH176" s="27">
        <f t="shared" si="25"/>
        <v>42184.8</v>
      </c>
      <c r="CI176" s="43">
        <f t="shared" si="25"/>
        <v>42184.8</v>
      </c>
      <c r="CJ176" s="31">
        <f>SUM(CJ173:CJ175)</f>
        <v>505870.92000000004</v>
      </c>
    </row>
    <row r="177" ht="12.75">
      <c r="C177" s="12"/>
    </row>
    <row r="178" spans="1:3" ht="15.75">
      <c r="A178" s="1">
        <f>A172+1</f>
        <v>12</v>
      </c>
      <c r="C178" s="5" t="s">
        <v>59</v>
      </c>
    </row>
    <row r="179" spans="3:88" ht="12.75">
      <c r="C179" s="4" t="str">
        <f>C161</f>
        <v>Debt Reserve</v>
      </c>
      <c r="BX179" s="26">
        <v>857.5</v>
      </c>
      <c r="BY179" s="26">
        <v>857.5</v>
      </c>
      <c r="BZ179" s="26">
        <v>835.42</v>
      </c>
      <c r="CA179" s="26">
        <v>835.42</v>
      </c>
      <c r="CB179" s="26">
        <v>835.42</v>
      </c>
      <c r="CC179" s="26">
        <v>835.42</v>
      </c>
      <c r="CD179" s="26">
        <v>835.42</v>
      </c>
      <c r="CE179" s="26">
        <v>835.42</v>
      </c>
      <c r="CF179" s="26">
        <v>835.42</v>
      </c>
      <c r="CG179" s="26">
        <v>835.42</v>
      </c>
      <c r="CH179" s="26">
        <v>835.42</v>
      </c>
      <c r="CI179" s="42">
        <v>835.42</v>
      </c>
      <c r="CJ179" s="26">
        <f>SUM(BX179:CI179)</f>
        <v>10069.2</v>
      </c>
    </row>
    <row r="180" spans="3:88" ht="12.75">
      <c r="C180" s="4" t="str">
        <f>C162</f>
        <v>Treasury Fee</v>
      </c>
      <c r="BX180" s="48">
        <v>250</v>
      </c>
      <c r="CJ180" s="26">
        <f>SUM(BX180:CI180)</f>
        <v>250</v>
      </c>
    </row>
    <row r="181" spans="3:88" ht="13.5" thickBot="1">
      <c r="C181" s="4" t="str">
        <f>C163</f>
        <v>Intercept</v>
      </c>
      <c r="BX181" s="26">
        <f aca="true" t="shared" si="26" ref="BX181:CH181">22916.67+36896.25</f>
        <v>59812.92</v>
      </c>
      <c r="BY181" s="26">
        <f t="shared" si="26"/>
        <v>59812.92</v>
      </c>
      <c r="BZ181" s="26">
        <f t="shared" si="26"/>
        <v>59812.92</v>
      </c>
      <c r="CA181" s="26">
        <f t="shared" si="26"/>
        <v>59812.92</v>
      </c>
      <c r="CB181" s="26">
        <f t="shared" si="26"/>
        <v>59812.92</v>
      </c>
      <c r="CC181" s="26">
        <f t="shared" si="26"/>
        <v>59812.92</v>
      </c>
      <c r="CD181" s="26">
        <f t="shared" si="26"/>
        <v>59812.92</v>
      </c>
      <c r="CE181" s="26">
        <f t="shared" si="26"/>
        <v>59812.92</v>
      </c>
      <c r="CF181" s="26">
        <f t="shared" si="26"/>
        <v>59812.92</v>
      </c>
      <c r="CG181" s="26">
        <f t="shared" si="26"/>
        <v>59812.92</v>
      </c>
      <c r="CH181" s="26">
        <f t="shared" si="26"/>
        <v>59812.92</v>
      </c>
      <c r="CI181" s="42">
        <f>24166.67+35979.58</f>
        <v>60146.25</v>
      </c>
      <c r="CJ181" s="26">
        <f>SUM(BX181:CI181)</f>
        <v>718088.37</v>
      </c>
    </row>
    <row r="182" spans="3:88" ht="13.5" thickBot="1">
      <c r="C182" s="6" t="s">
        <v>60</v>
      </c>
      <c r="BX182" s="27">
        <f aca="true" t="shared" si="27" ref="BX182:CI182">SUM(BX179:BX181)</f>
        <v>60920.42</v>
      </c>
      <c r="BY182" s="27">
        <f t="shared" si="27"/>
        <v>60670.42</v>
      </c>
      <c r="BZ182" s="27">
        <f t="shared" si="27"/>
        <v>60648.34</v>
      </c>
      <c r="CA182" s="27">
        <f t="shared" si="27"/>
        <v>60648.34</v>
      </c>
      <c r="CB182" s="27">
        <f t="shared" si="27"/>
        <v>60648.34</v>
      </c>
      <c r="CC182" s="27">
        <f t="shared" si="27"/>
        <v>60648.34</v>
      </c>
      <c r="CD182" s="27">
        <f t="shared" si="27"/>
        <v>60648.34</v>
      </c>
      <c r="CE182" s="27">
        <f t="shared" si="27"/>
        <v>60648.34</v>
      </c>
      <c r="CF182" s="27">
        <f t="shared" si="27"/>
        <v>60648.34</v>
      </c>
      <c r="CG182" s="27">
        <f t="shared" si="27"/>
        <v>60648.34</v>
      </c>
      <c r="CH182" s="27">
        <f t="shared" si="27"/>
        <v>60648.34</v>
      </c>
      <c r="CI182" s="43">
        <f t="shared" si="27"/>
        <v>60981.67</v>
      </c>
      <c r="CJ182" s="31">
        <f>SUM(CJ179:CJ181)</f>
        <v>728407.57</v>
      </c>
    </row>
    <row r="183" ht="12.75">
      <c r="C183" s="12"/>
    </row>
    <row r="184" spans="1:3" ht="15.75">
      <c r="A184" s="1">
        <f>A178+1</f>
        <v>13</v>
      </c>
      <c r="C184" s="5" t="s">
        <v>62</v>
      </c>
    </row>
    <row r="185" spans="3:88" ht="12.75">
      <c r="C185" s="4" t="str">
        <f>C167</f>
        <v>Debt Reserve</v>
      </c>
      <c r="BX185" s="26">
        <v>999.74</v>
      </c>
      <c r="BY185" s="26">
        <v>999.74</v>
      </c>
      <c r="BZ185" s="26">
        <v>999.74</v>
      </c>
      <c r="CA185" s="26">
        <v>999.74</v>
      </c>
      <c r="CB185" s="26">
        <v>999.74</v>
      </c>
      <c r="CC185" s="26">
        <v>999.74</v>
      </c>
      <c r="CD185" s="26">
        <v>999.74</v>
      </c>
      <c r="CE185" s="26">
        <v>999.74</v>
      </c>
      <c r="CF185" s="26">
        <v>999.74</v>
      </c>
      <c r="CG185" s="26">
        <v>999.74</v>
      </c>
      <c r="CH185" s="26">
        <v>999.74</v>
      </c>
      <c r="CI185" s="42">
        <v>950.99</v>
      </c>
      <c r="CJ185" s="26">
        <f>SUM(BX185:CI185)</f>
        <v>11948.13</v>
      </c>
    </row>
    <row r="186" spans="3:88" ht="12.75">
      <c r="C186" s="4" t="str">
        <f>C168</f>
        <v>Treasury Fee</v>
      </c>
      <c r="BX186" s="48">
        <v>250</v>
      </c>
      <c r="CJ186" s="26">
        <f>SUM(BX186:CI186)</f>
        <v>250</v>
      </c>
    </row>
    <row r="187" spans="3:88" ht="13.5" thickBot="1">
      <c r="C187" s="4" t="str">
        <f>C169</f>
        <v>Intercept</v>
      </c>
      <c r="BX187" s="26">
        <f aca="true" t="shared" si="28" ref="BX187:CH187">47083.33+51076.04</f>
        <v>98159.37</v>
      </c>
      <c r="BY187" s="26">
        <f t="shared" si="28"/>
        <v>98159.37</v>
      </c>
      <c r="BZ187" s="26">
        <f t="shared" si="28"/>
        <v>98159.37</v>
      </c>
      <c r="CA187" s="26">
        <f t="shared" si="28"/>
        <v>98159.37</v>
      </c>
      <c r="CB187" s="26">
        <f t="shared" si="28"/>
        <v>98159.37</v>
      </c>
      <c r="CC187" s="26">
        <f t="shared" si="28"/>
        <v>98159.37</v>
      </c>
      <c r="CD187" s="26">
        <f t="shared" si="28"/>
        <v>98159.37</v>
      </c>
      <c r="CE187" s="26">
        <f t="shared" si="28"/>
        <v>98159.37</v>
      </c>
      <c r="CF187" s="26">
        <f t="shared" si="28"/>
        <v>98159.37</v>
      </c>
      <c r="CG187" s="26">
        <f t="shared" si="28"/>
        <v>98159.37</v>
      </c>
      <c r="CH187" s="26">
        <f t="shared" si="28"/>
        <v>98159.37</v>
      </c>
      <c r="CI187" s="42">
        <f>48750+49192.71</f>
        <v>97942.70999999999</v>
      </c>
      <c r="CJ187" s="26">
        <f>SUM(BX187:CI187)</f>
        <v>1177695.7799999998</v>
      </c>
    </row>
    <row r="188" spans="3:88" ht="13.5" thickBot="1">
      <c r="C188" s="6" t="s">
        <v>63</v>
      </c>
      <c r="BX188" s="27">
        <f aca="true" t="shared" si="29" ref="BX188:CI188">SUM(BX185:BX187)</f>
        <v>99409.11</v>
      </c>
      <c r="BY188" s="27">
        <f t="shared" si="29"/>
        <v>99159.11</v>
      </c>
      <c r="BZ188" s="27">
        <f t="shared" si="29"/>
        <v>99159.11</v>
      </c>
      <c r="CA188" s="27">
        <f t="shared" si="29"/>
        <v>99159.11</v>
      </c>
      <c r="CB188" s="27">
        <f t="shared" si="29"/>
        <v>99159.11</v>
      </c>
      <c r="CC188" s="27">
        <f t="shared" si="29"/>
        <v>99159.11</v>
      </c>
      <c r="CD188" s="27">
        <f t="shared" si="29"/>
        <v>99159.11</v>
      </c>
      <c r="CE188" s="27">
        <f t="shared" si="29"/>
        <v>99159.11</v>
      </c>
      <c r="CF188" s="27">
        <f t="shared" si="29"/>
        <v>99159.11</v>
      </c>
      <c r="CG188" s="27">
        <f t="shared" si="29"/>
        <v>99159.11</v>
      </c>
      <c r="CH188" s="27">
        <f t="shared" si="29"/>
        <v>99159.11</v>
      </c>
      <c r="CI188" s="43">
        <f t="shared" si="29"/>
        <v>98893.7</v>
      </c>
      <c r="CJ188" s="31">
        <f>SUM(CJ185:CJ187)</f>
        <v>1189893.9099999997</v>
      </c>
    </row>
    <row r="189" ht="12.75">
      <c r="C189" s="12"/>
    </row>
    <row r="190" spans="1:3" ht="15.75">
      <c r="A190" s="1">
        <f>A184+1</f>
        <v>14</v>
      </c>
      <c r="C190" s="5" t="s">
        <v>64</v>
      </c>
    </row>
    <row r="191" spans="3:88" ht="12.75">
      <c r="C191" s="4" t="str">
        <f>C173</f>
        <v>Debt Reserve</v>
      </c>
      <c r="BX191" s="26">
        <v>0</v>
      </c>
      <c r="BY191" s="26">
        <v>0</v>
      </c>
      <c r="BZ191" s="26">
        <v>0</v>
      </c>
      <c r="CA191" s="26">
        <v>0</v>
      </c>
      <c r="CB191" s="26">
        <v>0</v>
      </c>
      <c r="CC191" s="26">
        <v>0</v>
      </c>
      <c r="CD191" s="26">
        <v>0</v>
      </c>
      <c r="CE191" s="26">
        <v>0</v>
      </c>
      <c r="CF191" s="26">
        <v>0</v>
      </c>
      <c r="CG191" s="26">
        <v>0</v>
      </c>
      <c r="CH191" s="26">
        <v>0</v>
      </c>
      <c r="CI191" s="42">
        <v>0</v>
      </c>
      <c r="CJ191" s="26">
        <f>SUM(BX191:CI191)</f>
        <v>0</v>
      </c>
    </row>
    <row r="192" spans="3:88" ht="12.75">
      <c r="C192" s="4" t="str">
        <f>C174</f>
        <v>Treasury Fee</v>
      </c>
      <c r="BX192" s="48">
        <v>250</v>
      </c>
      <c r="CJ192" s="26">
        <f>SUM(BX192:CI192)</f>
        <v>250</v>
      </c>
    </row>
    <row r="193" spans="3:88" ht="13.5" thickBot="1">
      <c r="C193" s="4" t="str">
        <f>C175</f>
        <v>Intercept</v>
      </c>
      <c r="BX193" s="26">
        <f>12500+37081.77</f>
        <v>49581.77</v>
      </c>
      <c r="BY193" s="26">
        <f>12500+37081.77</f>
        <v>49581.77</v>
      </c>
      <c r="BZ193" s="26">
        <f>12500+37081.77</f>
        <v>49581.77</v>
      </c>
      <c r="CA193" s="26">
        <f>12500+37081.77</f>
        <v>49581.77</v>
      </c>
      <c r="CB193" s="26">
        <f>12500+37081.77</f>
        <v>49581.77</v>
      </c>
      <c r="CC193" s="26">
        <f>13333.33+36316.15</f>
        <v>49649.48</v>
      </c>
      <c r="CD193" s="26">
        <f aca="true" t="shared" si="30" ref="CD193:CJ193">13333.33+36316.15</f>
        <v>49649.48</v>
      </c>
      <c r="CE193" s="26">
        <f t="shared" si="30"/>
        <v>49649.48</v>
      </c>
      <c r="CF193" s="26">
        <f t="shared" si="30"/>
        <v>49649.48</v>
      </c>
      <c r="CG193" s="26">
        <f t="shared" si="30"/>
        <v>49649.48</v>
      </c>
      <c r="CH193" s="26">
        <f t="shared" si="30"/>
        <v>49649.48</v>
      </c>
      <c r="CI193" s="42">
        <f t="shared" si="30"/>
        <v>49649.48</v>
      </c>
      <c r="CJ193" s="26">
        <f>SUM(BX193:CI193)</f>
        <v>595455.2099999998</v>
      </c>
    </row>
    <row r="194" spans="3:88" ht="13.5" thickBot="1">
      <c r="C194" s="6" t="s">
        <v>65</v>
      </c>
      <c r="BX194" s="27">
        <f aca="true" t="shared" si="31" ref="BX194:CI194">SUM(BX191:BX193)</f>
        <v>49831.77</v>
      </c>
      <c r="BY194" s="27">
        <f t="shared" si="31"/>
        <v>49581.77</v>
      </c>
      <c r="BZ194" s="27">
        <f t="shared" si="31"/>
        <v>49581.77</v>
      </c>
      <c r="CA194" s="27">
        <f t="shared" si="31"/>
        <v>49581.77</v>
      </c>
      <c r="CB194" s="27">
        <f t="shared" si="31"/>
        <v>49581.77</v>
      </c>
      <c r="CC194" s="27">
        <f t="shared" si="31"/>
        <v>49649.48</v>
      </c>
      <c r="CD194" s="27">
        <f t="shared" si="31"/>
        <v>49649.48</v>
      </c>
      <c r="CE194" s="27">
        <f t="shared" si="31"/>
        <v>49649.48</v>
      </c>
      <c r="CF194" s="27">
        <f t="shared" si="31"/>
        <v>49649.48</v>
      </c>
      <c r="CG194" s="27">
        <f t="shared" si="31"/>
        <v>49649.48</v>
      </c>
      <c r="CH194" s="27">
        <f t="shared" si="31"/>
        <v>49649.48</v>
      </c>
      <c r="CI194" s="43">
        <f t="shared" si="31"/>
        <v>49649.48</v>
      </c>
      <c r="CJ194" s="31">
        <f>SUM(CJ191:CJ193)</f>
        <v>595705.2099999998</v>
      </c>
    </row>
    <row r="195" ht="12.75">
      <c r="C195" s="12"/>
    </row>
    <row r="196" spans="2:3" ht="21">
      <c r="B196" s="9" t="s">
        <v>105</v>
      </c>
      <c r="C196" s="32" t="s">
        <v>66</v>
      </c>
    </row>
    <row r="197" spans="3:88" ht="12.75">
      <c r="C197" s="4" t="str">
        <f>C179</f>
        <v>Debt Reserve</v>
      </c>
      <c r="BX197" s="26">
        <v>722.92</v>
      </c>
      <c r="BY197" s="26">
        <v>722.92</v>
      </c>
      <c r="BZ197" s="26">
        <v>722.92</v>
      </c>
      <c r="CA197" s="26">
        <v>722.92</v>
      </c>
      <c r="CB197" s="26">
        <v>706.25</v>
      </c>
      <c r="CC197" s="26">
        <v>706.25</v>
      </c>
      <c r="CD197" s="26">
        <v>706.25</v>
      </c>
      <c r="CE197" s="26">
        <v>706.25</v>
      </c>
      <c r="CF197" s="26">
        <v>706.25</v>
      </c>
      <c r="CG197" s="26">
        <v>706.25</v>
      </c>
      <c r="CH197" s="26"/>
      <c r="CI197" s="42"/>
      <c r="CJ197" s="26">
        <f>SUM(BX197:CI197)</f>
        <v>7129.18</v>
      </c>
    </row>
    <row r="198" spans="3:88" ht="12.75">
      <c r="C198" s="4" t="str">
        <f>C180</f>
        <v>Treasury Fee</v>
      </c>
      <c r="BX198" s="48">
        <v>250</v>
      </c>
      <c r="CJ198" s="26">
        <f>SUM(BX198:CI198)</f>
        <v>250</v>
      </c>
    </row>
    <row r="199" spans="3:88" ht="13.5" thickBot="1">
      <c r="C199" s="4" t="str">
        <f>C181</f>
        <v>Intercept</v>
      </c>
      <c r="BX199" s="26">
        <f>16666.67+31567.71</f>
        <v>48234.38</v>
      </c>
      <c r="BY199" s="26">
        <f>16666.67+31567.71</f>
        <v>48234.38</v>
      </c>
      <c r="BZ199" s="26">
        <f>16666.67+31567.71</f>
        <v>48234.38</v>
      </c>
      <c r="CA199" s="26">
        <f>17500+30901.04</f>
        <v>48401.04</v>
      </c>
      <c r="CB199" s="26">
        <f aca="true" t="shared" si="32" ref="CB199:CG199">17500+30901.04</f>
        <v>48401.04</v>
      </c>
      <c r="CC199" s="26">
        <f t="shared" si="32"/>
        <v>48401.04</v>
      </c>
      <c r="CD199" s="26">
        <f t="shared" si="32"/>
        <v>48401.04</v>
      </c>
      <c r="CE199" s="26">
        <f t="shared" si="32"/>
        <v>48401.04</v>
      </c>
      <c r="CF199" s="26">
        <f t="shared" si="32"/>
        <v>48401.04</v>
      </c>
      <c r="CG199" s="26">
        <f t="shared" si="32"/>
        <v>48401.04</v>
      </c>
      <c r="CH199" s="26"/>
      <c r="CI199" s="42"/>
      <c r="CJ199" s="26">
        <f>SUM(BX199:CI199)</f>
        <v>483510.4199999999</v>
      </c>
    </row>
    <row r="200" spans="3:88" ht="13.5" thickBot="1">
      <c r="C200" s="6" t="s">
        <v>67</v>
      </c>
      <c r="BX200" s="27">
        <f aca="true" t="shared" si="33" ref="BX200:CI200">SUM(BX197:BX199)</f>
        <v>49207.299999999996</v>
      </c>
      <c r="BY200" s="27">
        <f t="shared" si="33"/>
        <v>48957.299999999996</v>
      </c>
      <c r="BZ200" s="27">
        <f t="shared" si="33"/>
        <v>48957.299999999996</v>
      </c>
      <c r="CA200" s="27">
        <f t="shared" si="33"/>
        <v>49123.96</v>
      </c>
      <c r="CB200" s="27">
        <f t="shared" si="33"/>
        <v>49107.29</v>
      </c>
      <c r="CC200" s="27">
        <f t="shared" si="33"/>
        <v>49107.29</v>
      </c>
      <c r="CD200" s="27">
        <f t="shared" si="33"/>
        <v>49107.29</v>
      </c>
      <c r="CE200" s="27">
        <f t="shared" si="33"/>
        <v>49107.29</v>
      </c>
      <c r="CF200" s="27">
        <f t="shared" si="33"/>
        <v>49107.29</v>
      </c>
      <c r="CG200" s="27">
        <f t="shared" si="33"/>
        <v>49107.29</v>
      </c>
      <c r="CH200" s="27">
        <f t="shared" si="33"/>
        <v>0</v>
      </c>
      <c r="CI200" s="43">
        <f t="shared" si="33"/>
        <v>0</v>
      </c>
      <c r="CJ200" s="31">
        <f>SUM(CJ197:CJ199)</f>
        <v>490889.5999999999</v>
      </c>
    </row>
    <row r="201" ht="12.75">
      <c r="C201" s="12"/>
    </row>
    <row r="202" spans="1:3" ht="15.75">
      <c r="A202" s="1">
        <f>A190+1</f>
        <v>15</v>
      </c>
      <c r="C202" s="5" t="s">
        <v>134</v>
      </c>
    </row>
    <row r="203" spans="3:88" ht="12.75">
      <c r="C203" s="4" t="str">
        <f>C185</f>
        <v>Debt Reserve</v>
      </c>
      <c r="BX203" s="26">
        <v>0</v>
      </c>
      <c r="BY203" s="26">
        <v>0</v>
      </c>
      <c r="BZ203" s="26">
        <v>0</v>
      </c>
      <c r="CA203" s="26">
        <v>0</v>
      </c>
      <c r="CB203" s="26">
        <v>0</v>
      </c>
      <c r="CC203" s="26">
        <v>0</v>
      </c>
      <c r="CD203" s="26">
        <v>0</v>
      </c>
      <c r="CE203" s="26">
        <v>0</v>
      </c>
      <c r="CF203" s="26">
        <v>0</v>
      </c>
      <c r="CG203" s="26">
        <v>0</v>
      </c>
      <c r="CH203" s="26">
        <v>0</v>
      </c>
      <c r="CI203" s="42">
        <v>0</v>
      </c>
      <c r="CJ203" s="26">
        <f>SUM(BX203:CI203)</f>
        <v>0</v>
      </c>
    </row>
    <row r="204" spans="3:88" ht="12.75">
      <c r="C204" s="4" t="str">
        <f>C186</f>
        <v>Treasury Fee</v>
      </c>
      <c r="BX204" s="48">
        <v>250</v>
      </c>
      <c r="CJ204" s="26">
        <f>SUM(BX204:CI204)</f>
        <v>250</v>
      </c>
    </row>
    <row r="205" spans="3:88" ht="13.5" thickBot="1">
      <c r="C205" s="4" t="str">
        <f>C187</f>
        <v>Intercept</v>
      </c>
      <c r="BX205" s="26">
        <f>15000+48575</f>
        <v>63575</v>
      </c>
      <c r="BY205" s="26">
        <f>15000+48575</f>
        <v>63575</v>
      </c>
      <c r="BZ205" s="26">
        <f>15000+48575</f>
        <v>63575</v>
      </c>
      <c r="CA205" s="26">
        <f>15833.33+47675</f>
        <v>63508.33</v>
      </c>
      <c r="CB205" s="26">
        <f aca="true" t="shared" si="34" ref="CB205:CJ205">15833.33+47675</f>
        <v>63508.33</v>
      </c>
      <c r="CC205" s="26">
        <f t="shared" si="34"/>
        <v>63508.33</v>
      </c>
      <c r="CD205" s="26">
        <f t="shared" si="34"/>
        <v>63508.33</v>
      </c>
      <c r="CE205" s="26">
        <f t="shared" si="34"/>
        <v>63508.33</v>
      </c>
      <c r="CF205" s="26">
        <f t="shared" si="34"/>
        <v>63508.33</v>
      </c>
      <c r="CG205" s="26">
        <f t="shared" si="34"/>
        <v>63508.33</v>
      </c>
      <c r="CH205" s="26">
        <f t="shared" si="34"/>
        <v>63508.33</v>
      </c>
      <c r="CI205" s="42">
        <f t="shared" si="34"/>
        <v>63508.33</v>
      </c>
      <c r="CJ205" s="26">
        <f>SUM(BX205:CI205)</f>
        <v>762299.97</v>
      </c>
    </row>
    <row r="206" spans="3:88" ht="13.5" thickBot="1">
      <c r="C206" s="6" t="s">
        <v>68</v>
      </c>
      <c r="BX206" s="27">
        <f aca="true" t="shared" si="35" ref="BX206:CI206">SUM(BX203:BX205)</f>
        <v>63825</v>
      </c>
      <c r="BY206" s="27">
        <f t="shared" si="35"/>
        <v>63575</v>
      </c>
      <c r="BZ206" s="27">
        <f t="shared" si="35"/>
        <v>63575</v>
      </c>
      <c r="CA206" s="27">
        <f t="shared" si="35"/>
        <v>63508.33</v>
      </c>
      <c r="CB206" s="27">
        <f t="shared" si="35"/>
        <v>63508.33</v>
      </c>
      <c r="CC206" s="27">
        <f t="shared" si="35"/>
        <v>63508.33</v>
      </c>
      <c r="CD206" s="27">
        <f t="shared" si="35"/>
        <v>63508.33</v>
      </c>
      <c r="CE206" s="27">
        <f t="shared" si="35"/>
        <v>63508.33</v>
      </c>
      <c r="CF206" s="27">
        <f t="shared" si="35"/>
        <v>63508.33</v>
      </c>
      <c r="CG206" s="27">
        <f t="shared" si="35"/>
        <v>63508.33</v>
      </c>
      <c r="CH206" s="27">
        <f t="shared" si="35"/>
        <v>63508.33</v>
      </c>
      <c r="CI206" s="43">
        <f t="shared" si="35"/>
        <v>63508.33</v>
      </c>
      <c r="CJ206" s="31">
        <f>SUM(CJ203:CJ205)</f>
        <v>762549.97</v>
      </c>
    </row>
    <row r="207" ht="12.75">
      <c r="C207" s="12"/>
    </row>
    <row r="208" spans="1:3" ht="15.75">
      <c r="A208" s="1">
        <f>A202+1</f>
        <v>16</v>
      </c>
      <c r="C208" s="5" t="s">
        <v>69</v>
      </c>
    </row>
    <row r="209" spans="3:88" ht="12.75">
      <c r="C209" s="4" t="str">
        <f>C191</f>
        <v>Debt Reserve</v>
      </c>
      <c r="BX209" s="26">
        <v>0</v>
      </c>
      <c r="BY209" s="26">
        <v>0</v>
      </c>
      <c r="BZ209" s="26">
        <v>0</v>
      </c>
      <c r="CA209" s="26">
        <v>0</v>
      </c>
      <c r="CB209" s="26">
        <v>0</v>
      </c>
      <c r="CC209" s="26">
        <v>0</v>
      </c>
      <c r="CD209" s="26">
        <v>0</v>
      </c>
      <c r="CE209" s="26">
        <v>0</v>
      </c>
      <c r="CF209" s="26">
        <v>0</v>
      </c>
      <c r="CG209" s="26">
        <v>0</v>
      </c>
      <c r="CH209" s="26">
        <v>0</v>
      </c>
      <c r="CI209" s="42">
        <v>0</v>
      </c>
      <c r="CJ209" s="26">
        <f>SUM(BX209:CI209)</f>
        <v>0</v>
      </c>
    </row>
    <row r="210" spans="3:88" ht="12.75">
      <c r="C210" s="4" t="str">
        <f>C192</f>
        <v>Treasury Fee</v>
      </c>
      <c r="BX210" s="48">
        <v>250</v>
      </c>
      <c r="CJ210" s="26">
        <f>SUM(BX210:CI210)</f>
        <v>250</v>
      </c>
    </row>
    <row r="211" spans="3:88" ht="13.5" thickBot="1">
      <c r="C211" s="4" t="str">
        <f>C193</f>
        <v>Intercept</v>
      </c>
      <c r="BX211" s="26">
        <f aca="true" t="shared" si="36" ref="BX211:CG211">13750+30097.92</f>
        <v>43847.92</v>
      </c>
      <c r="BY211" s="26">
        <f t="shared" si="36"/>
        <v>43847.92</v>
      </c>
      <c r="BZ211" s="26">
        <f t="shared" si="36"/>
        <v>43847.92</v>
      </c>
      <c r="CA211" s="26">
        <f t="shared" si="36"/>
        <v>43847.92</v>
      </c>
      <c r="CB211" s="26">
        <f t="shared" si="36"/>
        <v>43847.92</v>
      </c>
      <c r="CC211" s="26">
        <f t="shared" si="36"/>
        <v>43847.92</v>
      </c>
      <c r="CD211" s="26">
        <f t="shared" si="36"/>
        <v>43847.92</v>
      </c>
      <c r="CE211" s="26">
        <f t="shared" si="36"/>
        <v>43847.92</v>
      </c>
      <c r="CF211" s="26">
        <f t="shared" si="36"/>
        <v>43847.92</v>
      </c>
      <c r="CG211" s="26">
        <f t="shared" si="36"/>
        <v>43847.92</v>
      </c>
      <c r="CH211" s="26">
        <f>14166.67+29355.42</f>
        <v>43522.09</v>
      </c>
      <c r="CI211" s="42">
        <f>14166.67+29355.42</f>
        <v>43522.09</v>
      </c>
      <c r="CJ211" s="26">
        <f>SUM(BX211:CI211)</f>
        <v>525523.3799999999</v>
      </c>
    </row>
    <row r="212" spans="3:88" ht="13.5" thickBot="1">
      <c r="C212" s="6" t="s">
        <v>20</v>
      </c>
      <c r="BX212" s="27">
        <f aca="true" t="shared" si="37" ref="BX212:CI212">SUM(BX209:BX211)</f>
        <v>44097.92</v>
      </c>
      <c r="BY212" s="27">
        <f t="shared" si="37"/>
        <v>43847.92</v>
      </c>
      <c r="BZ212" s="27">
        <f t="shared" si="37"/>
        <v>43847.92</v>
      </c>
      <c r="CA212" s="27">
        <f t="shared" si="37"/>
        <v>43847.92</v>
      </c>
      <c r="CB212" s="27">
        <f t="shared" si="37"/>
        <v>43847.92</v>
      </c>
      <c r="CC212" s="27">
        <f t="shared" si="37"/>
        <v>43847.92</v>
      </c>
      <c r="CD212" s="27">
        <f t="shared" si="37"/>
        <v>43847.92</v>
      </c>
      <c r="CE212" s="27">
        <f t="shared" si="37"/>
        <v>43847.92</v>
      </c>
      <c r="CF212" s="27">
        <f t="shared" si="37"/>
        <v>43847.92</v>
      </c>
      <c r="CG212" s="27">
        <f t="shared" si="37"/>
        <v>43847.92</v>
      </c>
      <c r="CH212" s="27">
        <f t="shared" si="37"/>
        <v>43522.09</v>
      </c>
      <c r="CI212" s="43">
        <f t="shared" si="37"/>
        <v>43522.09</v>
      </c>
      <c r="CJ212" s="31">
        <f>SUM(CJ209:CJ211)</f>
        <v>525773.3799999999</v>
      </c>
    </row>
    <row r="213" ht="12.75">
      <c r="C213" s="12"/>
    </row>
    <row r="214" spans="1:3" ht="15.75">
      <c r="A214" s="1">
        <f>A208+1</f>
        <v>17</v>
      </c>
      <c r="C214" s="5" t="s">
        <v>70</v>
      </c>
    </row>
    <row r="215" spans="3:88" ht="12.75">
      <c r="C215" s="4" t="str">
        <f>C197</f>
        <v>Debt Reserve</v>
      </c>
      <c r="BX215" s="26">
        <v>0</v>
      </c>
      <c r="BY215" s="26">
        <v>0</v>
      </c>
      <c r="BZ215" s="26">
        <v>0</v>
      </c>
      <c r="CA215" s="26">
        <v>0</v>
      </c>
      <c r="CB215" s="26">
        <v>0</v>
      </c>
      <c r="CC215" s="26">
        <v>0</v>
      </c>
      <c r="CD215" s="26">
        <v>0</v>
      </c>
      <c r="CE215" s="26">
        <v>0</v>
      </c>
      <c r="CF215" s="26">
        <v>0</v>
      </c>
      <c r="CG215" s="26">
        <v>0</v>
      </c>
      <c r="CH215" s="26">
        <v>0</v>
      </c>
      <c r="CI215" s="42">
        <v>0</v>
      </c>
      <c r="CJ215" s="26">
        <f>SUM(BX215:CI215)</f>
        <v>0</v>
      </c>
    </row>
    <row r="216" spans="3:88" ht="12.75">
      <c r="C216" s="4" t="str">
        <f>C198</f>
        <v>Treasury Fee</v>
      </c>
      <c r="BX216" s="48">
        <v>250</v>
      </c>
      <c r="CJ216" s="26">
        <f>SUM(BX216:CI216)</f>
        <v>250</v>
      </c>
    </row>
    <row r="217" spans="3:88" ht="13.5" thickBot="1">
      <c r="C217" s="4" t="str">
        <f>C199</f>
        <v>Intercept</v>
      </c>
      <c r="BX217" s="26">
        <f>8333.33+22171.88</f>
        <v>30505.21</v>
      </c>
      <c r="BY217" s="26">
        <f>8333.33+22171.88</f>
        <v>30505.21</v>
      </c>
      <c r="BZ217" s="26">
        <f>8333.33+22171.88</f>
        <v>30505.21</v>
      </c>
      <c r="CA217" s="26">
        <f>8333.33+22171.88</f>
        <v>30505.21</v>
      </c>
      <c r="CB217" s="26">
        <f>9166.67+21703.13</f>
        <v>30869.800000000003</v>
      </c>
      <c r="CC217" s="26">
        <f aca="true" t="shared" si="38" ref="CC217:CJ217">9166.67+21703.13</f>
        <v>30869.800000000003</v>
      </c>
      <c r="CD217" s="26">
        <f t="shared" si="38"/>
        <v>30869.800000000003</v>
      </c>
      <c r="CE217" s="26">
        <f t="shared" si="38"/>
        <v>30869.800000000003</v>
      </c>
      <c r="CF217" s="26">
        <f t="shared" si="38"/>
        <v>30869.800000000003</v>
      </c>
      <c r="CG217" s="26">
        <f t="shared" si="38"/>
        <v>30869.800000000003</v>
      </c>
      <c r="CH217" s="26">
        <f t="shared" si="38"/>
        <v>30869.800000000003</v>
      </c>
      <c r="CI217" s="42">
        <f t="shared" si="38"/>
        <v>30869.800000000003</v>
      </c>
      <c r="CJ217" s="26">
        <f>SUM(BX217:CI217)</f>
        <v>368979.23999999993</v>
      </c>
    </row>
    <row r="218" spans="3:88" ht="13.5" thickBot="1">
      <c r="C218" s="6" t="s">
        <v>71</v>
      </c>
      <c r="BX218" s="27">
        <f aca="true" t="shared" si="39" ref="BX218:CI218">SUM(BX215:BX217)</f>
        <v>30755.21</v>
      </c>
      <c r="BY218" s="27">
        <f t="shared" si="39"/>
        <v>30505.21</v>
      </c>
      <c r="BZ218" s="27">
        <f t="shared" si="39"/>
        <v>30505.21</v>
      </c>
      <c r="CA218" s="27">
        <f t="shared" si="39"/>
        <v>30505.21</v>
      </c>
      <c r="CB218" s="27">
        <f t="shared" si="39"/>
        <v>30869.800000000003</v>
      </c>
      <c r="CC218" s="27">
        <f t="shared" si="39"/>
        <v>30869.800000000003</v>
      </c>
      <c r="CD218" s="27">
        <f t="shared" si="39"/>
        <v>30869.800000000003</v>
      </c>
      <c r="CE218" s="27">
        <f t="shared" si="39"/>
        <v>30869.800000000003</v>
      </c>
      <c r="CF218" s="27">
        <f t="shared" si="39"/>
        <v>30869.800000000003</v>
      </c>
      <c r="CG218" s="27">
        <f t="shared" si="39"/>
        <v>30869.800000000003</v>
      </c>
      <c r="CH218" s="27">
        <f t="shared" si="39"/>
        <v>30869.800000000003</v>
      </c>
      <c r="CI218" s="43">
        <f t="shared" si="39"/>
        <v>30869.800000000003</v>
      </c>
      <c r="CJ218" s="31">
        <f>SUM(CJ215:CJ217)</f>
        <v>369229.23999999993</v>
      </c>
    </row>
    <row r="219" ht="12.75">
      <c r="C219" s="12"/>
    </row>
    <row r="220" spans="1:3" ht="15.75">
      <c r="A220" s="1">
        <f>A214+1</f>
        <v>18</v>
      </c>
      <c r="C220" s="5" t="s">
        <v>72</v>
      </c>
    </row>
    <row r="221" spans="3:88" ht="12.75">
      <c r="C221" s="4" t="str">
        <f>C203</f>
        <v>Debt Reserve</v>
      </c>
      <c r="BX221" s="26">
        <v>386.86</v>
      </c>
      <c r="BY221" s="26">
        <v>386.86</v>
      </c>
      <c r="BZ221" s="26">
        <v>386.86</v>
      </c>
      <c r="CA221" s="26">
        <v>386.86</v>
      </c>
      <c r="CB221" s="26">
        <v>386.86</v>
      </c>
      <c r="CC221" s="26">
        <v>386.86</v>
      </c>
      <c r="CD221" s="26">
        <v>375.63</v>
      </c>
      <c r="CE221" s="26">
        <v>375.63</v>
      </c>
      <c r="CF221" s="26">
        <v>375.63</v>
      </c>
      <c r="CG221" s="26">
        <v>375.63</v>
      </c>
      <c r="CH221" s="26">
        <v>375.63</v>
      </c>
      <c r="CI221" s="42">
        <v>375.63</v>
      </c>
      <c r="CJ221" s="26">
        <f>SUM(BX221:CI221)</f>
        <v>4574.9400000000005</v>
      </c>
    </row>
    <row r="222" spans="3:88" ht="12.75">
      <c r="C222" s="4" t="str">
        <f>C204</f>
        <v>Treasury Fee</v>
      </c>
      <c r="BX222" s="48">
        <v>250</v>
      </c>
      <c r="CJ222" s="26">
        <f>SUM(BX222:CI222)</f>
        <v>250</v>
      </c>
    </row>
    <row r="223" spans="3:88" ht="13.5" thickBot="1">
      <c r="C223" s="4" t="str">
        <f>C205</f>
        <v>Intercept</v>
      </c>
      <c r="BX223" s="26">
        <f>11250+16467.5</f>
        <v>27717.5</v>
      </c>
      <c r="BY223" s="26">
        <f>11250+16467.5</f>
        <v>27717.5</v>
      </c>
      <c r="BZ223" s="26">
        <f>11250+16467.5</f>
        <v>27717.5</v>
      </c>
      <c r="CA223" s="26">
        <f>11250+16467.5</f>
        <v>27717.5</v>
      </c>
      <c r="CB223" s="26">
        <f>11250+16467.5</f>
        <v>27717.5</v>
      </c>
      <c r="CC223" s="26">
        <f>11666.67+16073.75</f>
        <v>27740.42</v>
      </c>
      <c r="CD223" s="26">
        <f aca="true" t="shared" si="40" ref="CD223:CJ223">11666.67+16073.75</f>
        <v>27740.42</v>
      </c>
      <c r="CE223" s="26">
        <f t="shared" si="40"/>
        <v>27740.42</v>
      </c>
      <c r="CF223" s="26">
        <f t="shared" si="40"/>
        <v>27740.42</v>
      </c>
      <c r="CG223" s="26">
        <f t="shared" si="40"/>
        <v>27740.42</v>
      </c>
      <c r="CH223" s="26">
        <f t="shared" si="40"/>
        <v>27740.42</v>
      </c>
      <c r="CI223" s="42">
        <f t="shared" si="40"/>
        <v>27740.42</v>
      </c>
      <c r="CJ223" s="26">
        <f>SUM(BX223:CI223)</f>
        <v>332770.4399999999</v>
      </c>
    </row>
    <row r="224" spans="3:88" ht="13.5" thickBot="1">
      <c r="C224" s="6" t="s">
        <v>73</v>
      </c>
      <c r="BX224" s="27">
        <f aca="true" t="shared" si="41" ref="BX224:CI224">SUM(BX221:BX223)</f>
        <v>28354.36</v>
      </c>
      <c r="BY224" s="27">
        <f t="shared" si="41"/>
        <v>28104.36</v>
      </c>
      <c r="BZ224" s="27">
        <f t="shared" si="41"/>
        <v>28104.36</v>
      </c>
      <c r="CA224" s="27">
        <f t="shared" si="41"/>
        <v>28104.36</v>
      </c>
      <c r="CB224" s="27">
        <f t="shared" si="41"/>
        <v>28104.36</v>
      </c>
      <c r="CC224" s="27">
        <f t="shared" si="41"/>
        <v>28127.28</v>
      </c>
      <c r="CD224" s="27">
        <f t="shared" si="41"/>
        <v>28116.05</v>
      </c>
      <c r="CE224" s="27">
        <f t="shared" si="41"/>
        <v>28116.05</v>
      </c>
      <c r="CF224" s="27">
        <f t="shared" si="41"/>
        <v>28116.05</v>
      </c>
      <c r="CG224" s="27">
        <f t="shared" si="41"/>
        <v>28116.05</v>
      </c>
      <c r="CH224" s="27">
        <f t="shared" si="41"/>
        <v>28116.05</v>
      </c>
      <c r="CI224" s="43">
        <f t="shared" si="41"/>
        <v>28116.05</v>
      </c>
      <c r="CJ224" s="31">
        <f>SUM(CJ221:CJ223)</f>
        <v>337595.3799999999</v>
      </c>
    </row>
    <row r="225" ht="12.75">
      <c r="C225" s="12"/>
    </row>
    <row r="226" spans="1:3" ht="15.75">
      <c r="A226" s="1">
        <f>A220+1</f>
        <v>19</v>
      </c>
      <c r="C226" s="13" t="s">
        <v>74</v>
      </c>
    </row>
    <row r="227" spans="3:88" ht="12.75">
      <c r="C227" s="4" t="str">
        <f>C209</f>
        <v>Debt Reserve</v>
      </c>
      <c r="BX227" s="26">
        <v>0</v>
      </c>
      <c r="BY227" s="26">
        <v>0</v>
      </c>
      <c r="BZ227" s="26">
        <v>0</v>
      </c>
      <c r="CA227" s="26">
        <v>0</v>
      </c>
      <c r="CB227" s="26">
        <v>0</v>
      </c>
      <c r="CC227" s="26">
        <v>0</v>
      </c>
      <c r="CD227" s="26">
        <v>0</v>
      </c>
      <c r="CE227" s="26">
        <v>0</v>
      </c>
      <c r="CF227" s="26">
        <v>0</v>
      </c>
      <c r="CG227" s="26">
        <v>0</v>
      </c>
      <c r="CH227" s="26">
        <v>0</v>
      </c>
      <c r="CI227" s="42">
        <v>0</v>
      </c>
      <c r="CJ227" s="26">
        <f>SUM(BX227:CI227)</f>
        <v>0</v>
      </c>
    </row>
    <row r="228" spans="3:88" ht="12.75">
      <c r="C228" s="4" t="str">
        <f>C210</f>
        <v>Treasury Fee</v>
      </c>
      <c r="BX228" s="48">
        <v>250</v>
      </c>
      <c r="CJ228" s="26">
        <f>SUM(BX228:CI228)</f>
        <v>250</v>
      </c>
    </row>
    <row r="229" spans="3:88" ht="13.5" thickBot="1">
      <c r="C229" s="4" t="str">
        <f>C211</f>
        <v>Intercept</v>
      </c>
      <c r="BX229" s="26">
        <f>7500+21586.46</f>
        <v>29086.46</v>
      </c>
      <c r="BY229" s="26">
        <f>7500+21586.46</f>
        <v>29086.46</v>
      </c>
      <c r="BZ229" s="26">
        <f>7500+21586.46</f>
        <v>29086.46</v>
      </c>
      <c r="CA229" s="26">
        <f>7500+21586.46</f>
        <v>29086.46</v>
      </c>
      <c r="CB229" s="26">
        <f>7500+21586.46</f>
        <v>29086.46</v>
      </c>
      <c r="CC229" s="26">
        <f>7916.67+21155.21</f>
        <v>29071.879999999997</v>
      </c>
      <c r="CD229" s="26">
        <f aca="true" t="shared" si="42" ref="CD229:CJ229">7916.67+21155.21</f>
        <v>29071.879999999997</v>
      </c>
      <c r="CE229" s="26">
        <f t="shared" si="42"/>
        <v>29071.879999999997</v>
      </c>
      <c r="CF229" s="26">
        <f t="shared" si="42"/>
        <v>29071.879999999997</v>
      </c>
      <c r="CG229" s="26">
        <f t="shared" si="42"/>
        <v>29071.879999999997</v>
      </c>
      <c r="CH229" s="26">
        <f t="shared" si="42"/>
        <v>29071.879999999997</v>
      </c>
      <c r="CI229" s="42">
        <f t="shared" si="42"/>
        <v>29071.879999999997</v>
      </c>
      <c r="CJ229" s="26">
        <f>SUM(BX229:CI229)</f>
        <v>348935.46</v>
      </c>
    </row>
    <row r="230" spans="3:88" ht="13.5" thickBot="1">
      <c r="C230" s="14" t="s">
        <v>75</v>
      </c>
      <c r="BX230" s="27">
        <f aca="true" t="shared" si="43" ref="BX230:CI230">SUM(BX227:BX229)</f>
        <v>29336.46</v>
      </c>
      <c r="BY230" s="27">
        <f t="shared" si="43"/>
        <v>29086.46</v>
      </c>
      <c r="BZ230" s="27">
        <f t="shared" si="43"/>
        <v>29086.46</v>
      </c>
      <c r="CA230" s="27">
        <f t="shared" si="43"/>
        <v>29086.46</v>
      </c>
      <c r="CB230" s="27">
        <f t="shared" si="43"/>
        <v>29086.46</v>
      </c>
      <c r="CC230" s="27">
        <f t="shared" si="43"/>
        <v>29071.879999999997</v>
      </c>
      <c r="CD230" s="27">
        <f t="shared" si="43"/>
        <v>29071.879999999997</v>
      </c>
      <c r="CE230" s="27">
        <f t="shared" si="43"/>
        <v>29071.879999999997</v>
      </c>
      <c r="CF230" s="27">
        <f t="shared" si="43"/>
        <v>29071.879999999997</v>
      </c>
      <c r="CG230" s="27">
        <f t="shared" si="43"/>
        <v>29071.879999999997</v>
      </c>
      <c r="CH230" s="27">
        <f t="shared" si="43"/>
        <v>29071.879999999997</v>
      </c>
      <c r="CI230" s="43">
        <f t="shared" si="43"/>
        <v>29071.879999999997</v>
      </c>
      <c r="CJ230" s="31">
        <f>SUM(CJ227:CJ229)</f>
        <v>349185.46</v>
      </c>
    </row>
    <row r="231" ht="12.75">
      <c r="C231" s="12"/>
    </row>
    <row r="232" spans="1:3" ht="15.75">
      <c r="A232" s="1">
        <f>A226+1</f>
        <v>20</v>
      </c>
      <c r="C232" s="13" t="s">
        <v>76</v>
      </c>
    </row>
    <row r="233" spans="3:88" ht="12.75">
      <c r="C233" s="4" t="str">
        <f>C221</f>
        <v>Debt Reserve</v>
      </c>
      <c r="BX233" s="26">
        <v>1168.75</v>
      </c>
      <c r="BY233" s="26">
        <v>1168.75</v>
      </c>
      <c r="BZ233" s="26">
        <v>1168.75</v>
      </c>
      <c r="CA233" s="26">
        <v>1168.75</v>
      </c>
      <c r="CB233" s="26">
        <v>1168.75</v>
      </c>
      <c r="CC233" s="26">
        <v>1168.75</v>
      </c>
      <c r="CD233" s="26">
        <v>1168.75</v>
      </c>
      <c r="CE233" s="26">
        <v>1168.75</v>
      </c>
      <c r="CF233" s="26">
        <v>1168.75</v>
      </c>
      <c r="CG233" s="26">
        <v>1140</v>
      </c>
      <c r="CH233" s="26">
        <v>1140</v>
      </c>
      <c r="CI233" s="42">
        <v>1140</v>
      </c>
      <c r="CJ233" s="26">
        <f>SUM(BX233:CI233)</f>
        <v>13938.75</v>
      </c>
    </row>
    <row r="234" spans="3:88" ht="12.75">
      <c r="C234" s="4" t="str">
        <f>C222</f>
        <v>Treasury Fee</v>
      </c>
      <c r="BX234" s="48">
        <v>250</v>
      </c>
      <c r="CJ234" s="26">
        <f>SUM(BX234:CI234)</f>
        <v>250</v>
      </c>
    </row>
    <row r="235" spans="3:88" ht="13.5" thickBot="1">
      <c r="C235" s="4" t="str">
        <f>C223</f>
        <v>Intercept</v>
      </c>
      <c r="BX235" s="26">
        <f>28750+50929.69</f>
        <v>79679.69</v>
      </c>
      <c r="BY235" s="26">
        <f>30000+49779.69</f>
        <v>79779.69</v>
      </c>
      <c r="BZ235" s="26">
        <f aca="true" t="shared" si="44" ref="BZ235:CJ235">30000+49779.69</f>
        <v>79779.69</v>
      </c>
      <c r="CA235" s="26">
        <f t="shared" si="44"/>
        <v>79779.69</v>
      </c>
      <c r="CB235" s="26">
        <f t="shared" si="44"/>
        <v>79779.69</v>
      </c>
      <c r="CC235" s="26">
        <f t="shared" si="44"/>
        <v>79779.69</v>
      </c>
      <c r="CD235" s="26">
        <f t="shared" si="44"/>
        <v>79779.69</v>
      </c>
      <c r="CE235" s="26">
        <f t="shared" si="44"/>
        <v>79779.69</v>
      </c>
      <c r="CF235" s="26">
        <f t="shared" si="44"/>
        <v>79779.69</v>
      </c>
      <c r="CG235" s="26">
        <f t="shared" si="44"/>
        <v>79779.69</v>
      </c>
      <c r="CH235" s="26">
        <f t="shared" si="44"/>
        <v>79779.69</v>
      </c>
      <c r="CI235" s="42">
        <f t="shared" si="44"/>
        <v>79779.69</v>
      </c>
      <c r="CJ235" s="26">
        <f>SUM(BX235:CI235)</f>
        <v>957256.2799999998</v>
      </c>
    </row>
    <row r="236" spans="3:88" ht="13.5" thickBot="1">
      <c r="C236" s="14" t="s">
        <v>77</v>
      </c>
      <c r="BX236" s="27">
        <f aca="true" t="shared" si="45" ref="BX236:CI236">SUM(BX233:BX235)</f>
        <v>81098.44</v>
      </c>
      <c r="BY236" s="27">
        <f t="shared" si="45"/>
        <v>80948.44</v>
      </c>
      <c r="BZ236" s="27">
        <f t="shared" si="45"/>
        <v>80948.44</v>
      </c>
      <c r="CA236" s="27">
        <f t="shared" si="45"/>
        <v>80948.44</v>
      </c>
      <c r="CB236" s="27">
        <f t="shared" si="45"/>
        <v>80948.44</v>
      </c>
      <c r="CC236" s="27">
        <f t="shared" si="45"/>
        <v>80948.44</v>
      </c>
      <c r="CD236" s="27">
        <f t="shared" si="45"/>
        <v>80948.44</v>
      </c>
      <c r="CE236" s="27">
        <f t="shared" si="45"/>
        <v>80948.44</v>
      </c>
      <c r="CF236" s="27">
        <f t="shared" si="45"/>
        <v>80948.44</v>
      </c>
      <c r="CG236" s="27">
        <f t="shared" si="45"/>
        <v>80919.69</v>
      </c>
      <c r="CH236" s="27">
        <f t="shared" si="45"/>
        <v>80919.69</v>
      </c>
      <c r="CI236" s="43">
        <f t="shared" si="45"/>
        <v>80919.69</v>
      </c>
      <c r="CJ236" s="31">
        <f>SUM(CJ233:CJ235)</f>
        <v>971445.0299999998</v>
      </c>
    </row>
    <row r="237" ht="12.75">
      <c r="C237" s="12"/>
    </row>
    <row r="238" spans="1:3" ht="15.75">
      <c r="A238" s="1">
        <f>A232+1</f>
        <v>21</v>
      </c>
      <c r="C238" s="13" t="s">
        <v>78</v>
      </c>
    </row>
    <row r="239" spans="3:88" ht="12.75">
      <c r="C239" s="4" t="str">
        <f>C227</f>
        <v>Debt Reserve</v>
      </c>
      <c r="BX239" s="26">
        <v>668.33</v>
      </c>
      <c r="BY239" s="26">
        <v>668.33</v>
      </c>
      <c r="BZ239" s="26">
        <v>668.33</v>
      </c>
      <c r="CA239" s="26">
        <v>668.33</v>
      </c>
      <c r="CB239" s="26">
        <v>668.33</v>
      </c>
      <c r="CC239" s="26">
        <v>668.33</v>
      </c>
      <c r="CD239" s="26">
        <v>668.33</v>
      </c>
      <c r="CE239" s="26">
        <v>668.33</v>
      </c>
      <c r="CF239" s="26">
        <v>668.33</v>
      </c>
      <c r="CG239" s="26">
        <v>668.33</v>
      </c>
      <c r="CH239" s="26">
        <v>668.33</v>
      </c>
      <c r="CI239" s="42">
        <v>650.83</v>
      </c>
      <c r="CJ239" s="26">
        <f>SUM(BX239:CI239)</f>
        <v>8002.46</v>
      </c>
    </row>
    <row r="240" spans="3:88" ht="12.75">
      <c r="C240" s="4" t="str">
        <f>C228</f>
        <v>Treasury Fee</v>
      </c>
      <c r="BX240" s="48">
        <v>250</v>
      </c>
      <c r="CJ240" s="26">
        <f>SUM(BX240:CI240)</f>
        <v>250</v>
      </c>
    </row>
    <row r="241" spans="3:88" ht="13.5" thickBot="1">
      <c r="C241" s="4" t="str">
        <f>C229</f>
        <v>Intercept</v>
      </c>
      <c r="BX241" s="26">
        <f aca="true" t="shared" si="46" ref="BX241:CE241">17500+30035.11</f>
        <v>47535.11</v>
      </c>
      <c r="BY241" s="26">
        <f t="shared" si="46"/>
        <v>47535.11</v>
      </c>
      <c r="BZ241" s="26">
        <f t="shared" si="46"/>
        <v>47535.11</v>
      </c>
      <c r="CA241" s="26">
        <f t="shared" si="46"/>
        <v>47535.11</v>
      </c>
      <c r="CB241" s="26">
        <f t="shared" si="46"/>
        <v>47535.11</v>
      </c>
      <c r="CC241" s="26">
        <f t="shared" si="46"/>
        <v>47535.11</v>
      </c>
      <c r="CD241" s="26">
        <f t="shared" si="46"/>
        <v>47535.11</v>
      </c>
      <c r="CE241" s="26">
        <f t="shared" si="46"/>
        <v>47535.11</v>
      </c>
      <c r="CF241" s="26">
        <f>18333.33+29335.11</f>
        <v>47668.44</v>
      </c>
      <c r="CG241" s="26">
        <f>18333.33+29335.11</f>
        <v>47668.44</v>
      </c>
      <c r="CH241" s="26">
        <f>18333.33+29335.11</f>
        <v>47668.44</v>
      </c>
      <c r="CI241" s="42">
        <f>18333.33+29335.11</f>
        <v>47668.44</v>
      </c>
      <c r="CJ241" s="26">
        <f>SUM(BX241:CI241)</f>
        <v>570954.6399999999</v>
      </c>
    </row>
    <row r="242" spans="3:88" ht="13.5" thickBot="1">
      <c r="C242" s="14" t="s">
        <v>79</v>
      </c>
      <c r="BX242" s="27">
        <f aca="true" t="shared" si="47" ref="BX242:CI242">SUM(BX239:BX241)</f>
        <v>48453.44</v>
      </c>
      <c r="BY242" s="27">
        <f t="shared" si="47"/>
        <v>48203.44</v>
      </c>
      <c r="BZ242" s="27">
        <f t="shared" si="47"/>
        <v>48203.44</v>
      </c>
      <c r="CA242" s="27">
        <f t="shared" si="47"/>
        <v>48203.44</v>
      </c>
      <c r="CB242" s="27">
        <f t="shared" si="47"/>
        <v>48203.44</v>
      </c>
      <c r="CC242" s="27">
        <f t="shared" si="47"/>
        <v>48203.44</v>
      </c>
      <c r="CD242" s="27">
        <f t="shared" si="47"/>
        <v>48203.44</v>
      </c>
      <c r="CE242" s="27">
        <f t="shared" si="47"/>
        <v>48203.44</v>
      </c>
      <c r="CF242" s="27">
        <f t="shared" si="47"/>
        <v>48336.770000000004</v>
      </c>
      <c r="CG242" s="27">
        <f t="shared" si="47"/>
        <v>48336.770000000004</v>
      </c>
      <c r="CH242" s="27">
        <f t="shared" si="47"/>
        <v>48336.770000000004</v>
      </c>
      <c r="CI242" s="43">
        <f t="shared" si="47"/>
        <v>48319.270000000004</v>
      </c>
      <c r="CJ242" s="31">
        <f>SUM(CJ239:CJ241)</f>
        <v>579207.0999999999</v>
      </c>
    </row>
    <row r="243" ht="12.75">
      <c r="C243" s="12"/>
    </row>
    <row r="244" spans="1:3" ht="15.75">
      <c r="A244" s="1" t="s">
        <v>211</v>
      </c>
      <c r="C244" s="13" t="s">
        <v>80</v>
      </c>
    </row>
    <row r="245" spans="3:88" ht="12.75">
      <c r="C245" s="4" t="str">
        <f>C239</f>
        <v>Debt Reserve</v>
      </c>
      <c r="BX245" s="26">
        <v>467.92</v>
      </c>
      <c r="BY245" s="26">
        <v>467.92</v>
      </c>
      <c r="BZ245" s="26">
        <v>467.92</v>
      </c>
      <c r="CA245" s="26">
        <v>467.92</v>
      </c>
      <c r="CB245" s="26">
        <v>467.92</v>
      </c>
      <c r="CC245" s="26">
        <v>467.92</v>
      </c>
      <c r="CD245" s="26">
        <v>467.92</v>
      </c>
      <c r="CE245" s="26">
        <v>467.92</v>
      </c>
      <c r="CF245" s="26">
        <v>467.92</v>
      </c>
      <c r="CG245" s="26">
        <v>467.92</v>
      </c>
      <c r="CH245" s="26">
        <v>467.92</v>
      </c>
      <c r="CI245" s="42">
        <v>467.92</v>
      </c>
      <c r="CJ245" s="26">
        <f>SUM(BX245:CI245)</f>
        <v>5615.04</v>
      </c>
    </row>
    <row r="246" spans="3:88" ht="12.75">
      <c r="C246" s="4" t="str">
        <f>C240</f>
        <v>Treasury Fee</v>
      </c>
      <c r="BX246" s="48">
        <v>83.33</v>
      </c>
      <c r="CJ246" s="26">
        <f>SUM(BX246:CI246)</f>
        <v>83.33</v>
      </c>
    </row>
    <row r="247" spans="3:88" ht="13.5" thickBot="1">
      <c r="C247" s="4" t="str">
        <f>C241</f>
        <v>Intercept</v>
      </c>
      <c r="BX247" s="26">
        <f>11250+22810.94</f>
        <v>34060.94</v>
      </c>
      <c r="BY247" s="26">
        <f aca="true" t="shared" si="48" ref="BY247:CI247">11250+22810.94</f>
        <v>34060.94</v>
      </c>
      <c r="BZ247" s="26">
        <f t="shared" si="48"/>
        <v>34060.94</v>
      </c>
      <c r="CA247" s="26">
        <f t="shared" si="48"/>
        <v>34060.94</v>
      </c>
      <c r="CB247" s="26">
        <f t="shared" si="48"/>
        <v>34060.94</v>
      </c>
      <c r="CC247" s="26">
        <f t="shared" si="48"/>
        <v>34060.94</v>
      </c>
      <c r="CD247" s="26">
        <f t="shared" si="48"/>
        <v>34060.94</v>
      </c>
      <c r="CE247" s="26">
        <f t="shared" si="48"/>
        <v>34060.94</v>
      </c>
      <c r="CF247" s="26">
        <f t="shared" si="48"/>
        <v>34060.94</v>
      </c>
      <c r="CG247" s="26">
        <f t="shared" si="48"/>
        <v>34060.94</v>
      </c>
      <c r="CH247" s="26">
        <f t="shared" si="48"/>
        <v>34060.94</v>
      </c>
      <c r="CI247" s="42">
        <f t="shared" si="48"/>
        <v>34060.94</v>
      </c>
      <c r="CJ247" s="26">
        <f>SUM(BX247:CI247)</f>
        <v>408731.28</v>
      </c>
    </row>
    <row r="248" spans="3:88" ht="13.5" thickBot="1">
      <c r="C248" s="6" t="s">
        <v>30</v>
      </c>
      <c r="BX248" s="27">
        <f aca="true" t="shared" si="49" ref="BX248:CI248">SUM(BX245:BX247)</f>
        <v>34612.19</v>
      </c>
      <c r="BY248" s="27">
        <f t="shared" si="49"/>
        <v>34528.86</v>
      </c>
      <c r="BZ248" s="27">
        <f t="shared" si="49"/>
        <v>34528.86</v>
      </c>
      <c r="CA248" s="27">
        <f t="shared" si="49"/>
        <v>34528.86</v>
      </c>
      <c r="CB248" s="27">
        <f t="shared" si="49"/>
        <v>34528.86</v>
      </c>
      <c r="CC248" s="27">
        <f t="shared" si="49"/>
        <v>34528.86</v>
      </c>
      <c r="CD248" s="27">
        <f t="shared" si="49"/>
        <v>34528.86</v>
      </c>
      <c r="CE248" s="27">
        <f t="shared" si="49"/>
        <v>34528.86</v>
      </c>
      <c r="CF248" s="27">
        <f t="shared" si="49"/>
        <v>34528.86</v>
      </c>
      <c r="CG248" s="27">
        <f t="shared" si="49"/>
        <v>34528.86</v>
      </c>
      <c r="CH248" s="27">
        <f t="shared" si="49"/>
        <v>34528.86</v>
      </c>
      <c r="CI248" s="43">
        <f t="shared" si="49"/>
        <v>34528.86</v>
      </c>
      <c r="CJ248" s="31">
        <f>SUM(CJ245:CJ247)</f>
        <v>414429.65</v>
      </c>
    </row>
    <row r="249" ht="12.75">
      <c r="C249" s="12"/>
    </row>
    <row r="250" spans="1:3" ht="15.75">
      <c r="A250" s="1" t="s">
        <v>212</v>
      </c>
      <c r="C250" s="13" t="s">
        <v>81</v>
      </c>
    </row>
    <row r="251" spans="3:88" ht="12.75">
      <c r="C251" s="4" t="str">
        <f>C245</f>
        <v>Debt Reserve</v>
      </c>
      <c r="BX251" s="26">
        <v>467.92</v>
      </c>
      <c r="BY251" s="26">
        <v>467.92</v>
      </c>
      <c r="BZ251" s="26">
        <v>467.92</v>
      </c>
      <c r="CA251" s="26">
        <v>467.92</v>
      </c>
      <c r="CB251" s="26">
        <v>467.92</v>
      </c>
      <c r="CC251" s="26">
        <v>467.92</v>
      </c>
      <c r="CD251" s="26">
        <v>467.92</v>
      </c>
      <c r="CE251" s="26">
        <v>467.92</v>
      </c>
      <c r="CF251" s="26">
        <v>467.92</v>
      </c>
      <c r="CG251" s="26">
        <v>467.92</v>
      </c>
      <c r="CH251" s="26">
        <v>467.92</v>
      </c>
      <c r="CI251" s="42">
        <v>467.92</v>
      </c>
      <c r="CJ251" s="26">
        <f>SUM(BX251:CI251)</f>
        <v>5615.04</v>
      </c>
    </row>
    <row r="252" spans="3:88" ht="12.75">
      <c r="C252" s="4" t="str">
        <f>C246</f>
        <v>Treasury Fee</v>
      </c>
      <c r="BX252" s="48">
        <v>83.33</v>
      </c>
      <c r="CJ252" s="26">
        <f>SUM(BX252:CI252)</f>
        <v>83.33</v>
      </c>
    </row>
    <row r="253" spans="3:88" ht="13.5" thickBot="1">
      <c r="C253" s="4" t="str">
        <f>C247</f>
        <v>Intercept</v>
      </c>
      <c r="BX253" s="26">
        <f>11250+22810.94</f>
        <v>34060.94</v>
      </c>
      <c r="BY253" s="26">
        <f aca="true" t="shared" si="50" ref="BY253:CI253">11250+22810.94</f>
        <v>34060.94</v>
      </c>
      <c r="BZ253" s="26">
        <f t="shared" si="50"/>
        <v>34060.94</v>
      </c>
      <c r="CA253" s="26">
        <f t="shared" si="50"/>
        <v>34060.94</v>
      </c>
      <c r="CB253" s="26">
        <f t="shared" si="50"/>
        <v>34060.94</v>
      </c>
      <c r="CC253" s="26">
        <f t="shared" si="50"/>
        <v>34060.94</v>
      </c>
      <c r="CD253" s="26">
        <f t="shared" si="50"/>
        <v>34060.94</v>
      </c>
      <c r="CE253" s="26">
        <f t="shared" si="50"/>
        <v>34060.94</v>
      </c>
      <c r="CF253" s="26">
        <f t="shared" si="50"/>
        <v>34060.94</v>
      </c>
      <c r="CG253" s="26">
        <f t="shared" si="50"/>
        <v>34060.94</v>
      </c>
      <c r="CH253" s="26">
        <f t="shared" si="50"/>
        <v>34060.94</v>
      </c>
      <c r="CI253" s="42">
        <f t="shared" si="50"/>
        <v>34060.94</v>
      </c>
      <c r="CJ253" s="26">
        <f>SUM(BX253:CI253)</f>
        <v>408731.28</v>
      </c>
    </row>
    <row r="254" spans="3:88" ht="13.5" thickBot="1">
      <c r="C254" s="6" t="s">
        <v>32</v>
      </c>
      <c r="BX254" s="27">
        <f aca="true" t="shared" si="51" ref="BX254:CI254">SUM(BX251:BX253)</f>
        <v>34612.19</v>
      </c>
      <c r="BY254" s="27">
        <f t="shared" si="51"/>
        <v>34528.86</v>
      </c>
      <c r="BZ254" s="27">
        <f t="shared" si="51"/>
        <v>34528.86</v>
      </c>
      <c r="CA254" s="27">
        <f t="shared" si="51"/>
        <v>34528.86</v>
      </c>
      <c r="CB254" s="27">
        <f t="shared" si="51"/>
        <v>34528.86</v>
      </c>
      <c r="CC254" s="27">
        <f t="shared" si="51"/>
        <v>34528.86</v>
      </c>
      <c r="CD254" s="27">
        <f t="shared" si="51"/>
        <v>34528.86</v>
      </c>
      <c r="CE254" s="27">
        <f t="shared" si="51"/>
        <v>34528.86</v>
      </c>
      <c r="CF254" s="27">
        <f t="shared" si="51"/>
        <v>34528.86</v>
      </c>
      <c r="CG254" s="27">
        <f t="shared" si="51"/>
        <v>34528.86</v>
      </c>
      <c r="CH254" s="27">
        <f t="shared" si="51"/>
        <v>34528.86</v>
      </c>
      <c r="CI254" s="43">
        <f t="shared" si="51"/>
        <v>34528.86</v>
      </c>
      <c r="CJ254" s="31">
        <f>SUM(CJ251:CJ253)</f>
        <v>414429.65</v>
      </c>
    </row>
    <row r="255" ht="12.75">
      <c r="C255" s="12"/>
    </row>
    <row r="256" spans="1:3" ht="15.75">
      <c r="A256" s="1" t="s">
        <v>213</v>
      </c>
      <c r="C256" s="13" t="s">
        <v>82</v>
      </c>
    </row>
    <row r="257" spans="3:88" ht="12.75">
      <c r="C257" s="4" t="str">
        <f>C251</f>
        <v>Debt Reserve</v>
      </c>
      <c r="BX257" s="26">
        <v>620.83</v>
      </c>
      <c r="BY257" s="26">
        <v>620.83</v>
      </c>
      <c r="BZ257" s="26">
        <v>620.83</v>
      </c>
      <c r="CA257" s="26">
        <v>620.83</v>
      </c>
      <c r="CB257" s="26">
        <v>620.83</v>
      </c>
      <c r="CC257" s="26">
        <v>620.83</v>
      </c>
      <c r="CD257" s="26">
        <v>620.83</v>
      </c>
      <c r="CE257" s="26">
        <v>620.83</v>
      </c>
      <c r="CF257" s="26">
        <v>620.83</v>
      </c>
      <c r="CG257" s="26">
        <v>620.83</v>
      </c>
      <c r="CH257" s="26">
        <v>620.83</v>
      </c>
      <c r="CI257" s="42">
        <v>620.83</v>
      </c>
      <c r="CJ257" s="26">
        <f>SUM(BX257:CI257)</f>
        <v>7449.96</v>
      </c>
    </row>
    <row r="258" spans="3:88" ht="12.75">
      <c r="C258" s="4" t="str">
        <f>C252</f>
        <v>Treasury Fee</v>
      </c>
      <c r="BX258" s="48">
        <v>83.33</v>
      </c>
      <c r="CJ258" s="26">
        <f>SUM(BX258:CI258)</f>
        <v>83.33</v>
      </c>
    </row>
    <row r="259" spans="3:88" ht="13.5" thickBot="1">
      <c r="C259" s="4" t="str">
        <f>C253</f>
        <v>Intercept</v>
      </c>
      <c r="BX259" s="26">
        <f>14583.33+30269.27</f>
        <v>44852.6</v>
      </c>
      <c r="BY259" s="26">
        <f aca="true" t="shared" si="52" ref="BY259:CI259">14583.33+30269.27</f>
        <v>44852.6</v>
      </c>
      <c r="BZ259" s="26">
        <f t="shared" si="52"/>
        <v>44852.6</v>
      </c>
      <c r="CA259" s="26">
        <f t="shared" si="52"/>
        <v>44852.6</v>
      </c>
      <c r="CB259" s="26">
        <f t="shared" si="52"/>
        <v>44852.6</v>
      </c>
      <c r="CC259" s="26">
        <f t="shared" si="52"/>
        <v>44852.6</v>
      </c>
      <c r="CD259" s="26">
        <f t="shared" si="52"/>
        <v>44852.6</v>
      </c>
      <c r="CE259" s="26">
        <f t="shared" si="52"/>
        <v>44852.6</v>
      </c>
      <c r="CF259" s="26">
        <f t="shared" si="52"/>
        <v>44852.6</v>
      </c>
      <c r="CG259" s="26">
        <f t="shared" si="52"/>
        <v>44852.6</v>
      </c>
      <c r="CH259" s="26">
        <f t="shared" si="52"/>
        <v>44852.6</v>
      </c>
      <c r="CI259" s="42">
        <f t="shared" si="52"/>
        <v>44852.6</v>
      </c>
      <c r="CJ259" s="26">
        <f>SUM(BX259:CI259)</f>
        <v>538231.1999999998</v>
      </c>
    </row>
    <row r="260" spans="3:88" ht="13.5" thickBot="1">
      <c r="C260" s="14" t="s">
        <v>83</v>
      </c>
      <c r="BX260" s="27">
        <f aca="true" t="shared" si="53" ref="BX260:CI260">SUM(BX257:BX259)</f>
        <v>45556.76</v>
      </c>
      <c r="BY260" s="27">
        <f t="shared" si="53"/>
        <v>45473.43</v>
      </c>
      <c r="BZ260" s="27">
        <f t="shared" si="53"/>
        <v>45473.43</v>
      </c>
      <c r="CA260" s="27">
        <f t="shared" si="53"/>
        <v>45473.43</v>
      </c>
      <c r="CB260" s="27">
        <f t="shared" si="53"/>
        <v>45473.43</v>
      </c>
      <c r="CC260" s="27">
        <f t="shared" si="53"/>
        <v>45473.43</v>
      </c>
      <c r="CD260" s="27">
        <f t="shared" si="53"/>
        <v>45473.43</v>
      </c>
      <c r="CE260" s="27">
        <f t="shared" si="53"/>
        <v>45473.43</v>
      </c>
      <c r="CF260" s="27">
        <f t="shared" si="53"/>
        <v>45473.43</v>
      </c>
      <c r="CG260" s="27">
        <f t="shared" si="53"/>
        <v>45473.43</v>
      </c>
      <c r="CH260" s="27">
        <f t="shared" si="53"/>
        <v>45473.43</v>
      </c>
      <c r="CI260" s="43">
        <f t="shared" si="53"/>
        <v>45473.43</v>
      </c>
      <c r="CJ260" s="31">
        <f>SUM(CJ257:CJ259)</f>
        <v>545764.4899999999</v>
      </c>
    </row>
    <row r="261" ht="12.75">
      <c r="C261" s="15"/>
    </row>
    <row r="262" spans="1:3" ht="21">
      <c r="A262" s="16"/>
      <c r="B262" s="7" t="s">
        <v>104</v>
      </c>
      <c r="C262" s="38" t="s">
        <v>85</v>
      </c>
    </row>
    <row r="263" ht="12.75">
      <c r="C263" s="4" t="str">
        <f>C257</f>
        <v>Debt Reserve</v>
      </c>
    </row>
    <row r="264" ht="12.75">
      <c r="C264" s="4" t="str">
        <f>C258</f>
        <v>Treasury Fee</v>
      </c>
    </row>
    <row r="265" ht="13.5" thickBot="1">
      <c r="C265" s="4" t="str">
        <f>C259</f>
        <v>Intercept</v>
      </c>
    </row>
    <row r="266" ht="13.5" thickBot="1">
      <c r="C266" s="14" t="s">
        <v>86</v>
      </c>
    </row>
    <row r="267" ht="12.75">
      <c r="C267" s="15"/>
    </row>
    <row r="268" spans="1:3" ht="15.75">
      <c r="A268" s="16">
        <v>25</v>
      </c>
      <c r="C268" s="13" t="s">
        <v>88</v>
      </c>
    </row>
    <row r="269" spans="3:88" ht="12.75">
      <c r="C269" s="4" t="str">
        <f>C263</f>
        <v>Debt Reserve</v>
      </c>
      <c r="BX269" s="26">
        <v>0</v>
      </c>
      <c r="BY269" s="26">
        <v>0</v>
      </c>
      <c r="BZ269" s="26">
        <v>0</v>
      </c>
      <c r="CA269" s="26">
        <v>0</v>
      </c>
      <c r="CB269" s="26">
        <v>0</v>
      </c>
      <c r="CC269" s="26">
        <v>0</v>
      </c>
      <c r="CD269" s="26">
        <v>0</v>
      </c>
      <c r="CE269" s="26">
        <v>0</v>
      </c>
      <c r="CF269" s="26">
        <v>0</v>
      </c>
      <c r="CG269" s="26">
        <v>0</v>
      </c>
      <c r="CH269" s="26">
        <v>0</v>
      </c>
      <c r="CI269" s="42">
        <v>0</v>
      </c>
      <c r="CJ269" s="26">
        <f>SUM(BX269:CI269)</f>
        <v>0</v>
      </c>
    </row>
    <row r="270" spans="3:88" ht="12.75">
      <c r="C270" s="4" t="str">
        <f>C264</f>
        <v>Treasury Fee</v>
      </c>
      <c r="BX270" s="48">
        <v>250</v>
      </c>
      <c r="CJ270" s="26">
        <f>SUM(BX270:CI270)</f>
        <v>250</v>
      </c>
    </row>
    <row r="271" spans="3:88" ht="13.5" thickBot="1">
      <c r="C271" s="4" t="str">
        <f>C265</f>
        <v>Intercept</v>
      </c>
      <c r="BX271" s="26">
        <f aca="true" t="shared" si="54" ref="BX271:CG271">11250+29592.5</f>
        <v>40842.5</v>
      </c>
      <c r="BY271" s="26">
        <f t="shared" si="54"/>
        <v>40842.5</v>
      </c>
      <c r="BZ271" s="26">
        <f t="shared" si="54"/>
        <v>40842.5</v>
      </c>
      <c r="CA271" s="26">
        <f t="shared" si="54"/>
        <v>40842.5</v>
      </c>
      <c r="CB271" s="26">
        <f t="shared" si="54"/>
        <v>40842.5</v>
      </c>
      <c r="CC271" s="26">
        <f t="shared" si="54"/>
        <v>40842.5</v>
      </c>
      <c r="CD271" s="26">
        <f t="shared" si="54"/>
        <v>40842.5</v>
      </c>
      <c r="CE271" s="26">
        <f t="shared" si="54"/>
        <v>40842.5</v>
      </c>
      <c r="CF271" s="26">
        <f t="shared" si="54"/>
        <v>40842.5</v>
      </c>
      <c r="CG271" s="26">
        <f t="shared" si="54"/>
        <v>40842.5</v>
      </c>
      <c r="CH271" s="26">
        <f>12083.33+28951.25</f>
        <v>41034.58</v>
      </c>
      <c r="CI271" s="42">
        <f>12083.33+28951.25</f>
        <v>41034.58</v>
      </c>
      <c r="CJ271" s="26">
        <f>SUM(BX271:CI271)</f>
        <v>490494.16000000003</v>
      </c>
    </row>
    <row r="272" spans="3:88" ht="13.5" thickBot="1">
      <c r="C272" s="14" t="s">
        <v>89</v>
      </c>
      <c r="BX272" s="27">
        <f aca="true" t="shared" si="55" ref="BX272:CI272">SUM(BX269:BX271)</f>
        <v>41092.5</v>
      </c>
      <c r="BY272" s="27">
        <f t="shared" si="55"/>
        <v>40842.5</v>
      </c>
      <c r="BZ272" s="27">
        <f t="shared" si="55"/>
        <v>40842.5</v>
      </c>
      <c r="CA272" s="27">
        <f t="shared" si="55"/>
        <v>40842.5</v>
      </c>
      <c r="CB272" s="27">
        <f t="shared" si="55"/>
        <v>40842.5</v>
      </c>
      <c r="CC272" s="27">
        <f t="shared" si="55"/>
        <v>40842.5</v>
      </c>
      <c r="CD272" s="27">
        <f t="shared" si="55"/>
        <v>40842.5</v>
      </c>
      <c r="CE272" s="27">
        <f t="shared" si="55"/>
        <v>40842.5</v>
      </c>
      <c r="CF272" s="27">
        <f t="shared" si="55"/>
        <v>40842.5</v>
      </c>
      <c r="CG272" s="27">
        <f t="shared" si="55"/>
        <v>40842.5</v>
      </c>
      <c r="CH272" s="27">
        <f t="shared" si="55"/>
        <v>41034.58</v>
      </c>
      <c r="CI272" s="43">
        <f t="shared" si="55"/>
        <v>41034.58</v>
      </c>
      <c r="CJ272" s="31">
        <f>SUM(CJ269:CJ271)</f>
        <v>490744.16000000003</v>
      </c>
    </row>
    <row r="273" ht="12.75">
      <c r="C273" s="15"/>
    </row>
    <row r="274" spans="1:3" ht="15.75">
      <c r="A274" s="16">
        <f>+A268+1</f>
        <v>26</v>
      </c>
      <c r="C274" s="13" t="s">
        <v>90</v>
      </c>
    </row>
    <row r="275" spans="3:88" ht="12.75">
      <c r="C275" s="4" t="str">
        <f>C269</f>
        <v>Debt Reserve</v>
      </c>
      <c r="BX275" s="26">
        <v>0</v>
      </c>
      <c r="BY275" s="26">
        <v>0</v>
      </c>
      <c r="BZ275" s="26">
        <v>0</v>
      </c>
      <c r="CA275" s="26">
        <v>0</v>
      </c>
      <c r="CB275" s="26">
        <v>0</v>
      </c>
      <c r="CC275" s="26">
        <v>0</v>
      </c>
      <c r="CD275" s="26">
        <v>0</v>
      </c>
      <c r="CE275" s="26">
        <v>0</v>
      </c>
      <c r="CF275" s="26">
        <v>0</v>
      </c>
      <c r="CG275" s="26">
        <v>0</v>
      </c>
      <c r="CH275" s="26">
        <v>0</v>
      </c>
      <c r="CI275" s="42">
        <v>0</v>
      </c>
      <c r="CJ275" s="26">
        <f>SUM(BX275:CI275)</f>
        <v>0</v>
      </c>
    </row>
    <row r="276" spans="3:88" ht="12.75">
      <c r="C276" s="4" t="str">
        <f>C270</f>
        <v>Treasury Fee</v>
      </c>
      <c r="BX276" s="48">
        <v>250</v>
      </c>
      <c r="CJ276" s="26">
        <f>SUM(BX276:CI276)</f>
        <v>250</v>
      </c>
    </row>
    <row r="277" spans="3:88" ht="13.5" thickBot="1">
      <c r="C277" s="4" t="str">
        <f>C271</f>
        <v>Intercept</v>
      </c>
      <c r="BX277" s="26">
        <f aca="true" t="shared" si="56" ref="BX277:CG277">2500+11562.5</f>
        <v>14062.5</v>
      </c>
      <c r="BY277" s="26">
        <f t="shared" si="56"/>
        <v>14062.5</v>
      </c>
      <c r="BZ277" s="26">
        <f t="shared" si="56"/>
        <v>14062.5</v>
      </c>
      <c r="CA277" s="26">
        <f t="shared" si="56"/>
        <v>14062.5</v>
      </c>
      <c r="CB277" s="26">
        <f t="shared" si="56"/>
        <v>14062.5</v>
      </c>
      <c r="CC277" s="26">
        <f t="shared" si="56"/>
        <v>14062.5</v>
      </c>
      <c r="CD277" s="26">
        <f t="shared" si="56"/>
        <v>14062.5</v>
      </c>
      <c r="CE277" s="26">
        <f t="shared" si="56"/>
        <v>14062.5</v>
      </c>
      <c r="CF277" s="26">
        <f t="shared" si="56"/>
        <v>14062.5</v>
      </c>
      <c r="CG277" s="26">
        <f t="shared" si="56"/>
        <v>14062.5</v>
      </c>
      <c r="CH277" s="26">
        <f>2500+11375</f>
        <v>13875</v>
      </c>
      <c r="CI277" s="42">
        <f>2500+11375</f>
        <v>13875</v>
      </c>
      <c r="CJ277" s="26">
        <f>SUM(BX277:CI277)</f>
        <v>168375</v>
      </c>
    </row>
    <row r="278" spans="3:88" ht="13.5" thickBot="1">
      <c r="C278" s="14" t="s">
        <v>91</v>
      </c>
      <c r="BX278" s="27">
        <f aca="true" t="shared" si="57" ref="BX278:CI278">SUM(BX275:BX277)</f>
        <v>14312.5</v>
      </c>
      <c r="BY278" s="27">
        <f t="shared" si="57"/>
        <v>14062.5</v>
      </c>
      <c r="BZ278" s="27">
        <f t="shared" si="57"/>
        <v>14062.5</v>
      </c>
      <c r="CA278" s="27">
        <f t="shared" si="57"/>
        <v>14062.5</v>
      </c>
      <c r="CB278" s="27">
        <f t="shared" si="57"/>
        <v>14062.5</v>
      </c>
      <c r="CC278" s="27">
        <f t="shared" si="57"/>
        <v>14062.5</v>
      </c>
      <c r="CD278" s="27">
        <f t="shared" si="57"/>
        <v>14062.5</v>
      </c>
      <c r="CE278" s="27">
        <f t="shared" si="57"/>
        <v>14062.5</v>
      </c>
      <c r="CF278" s="27">
        <f t="shared" si="57"/>
        <v>14062.5</v>
      </c>
      <c r="CG278" s="27">
        <f t="shared" si="57"/>
        <v>14062.5</v>
      </c>
      <c r="CH278" s="27">
        <f t="shared" si="57"/>
        <v>13875</v>
      </c>
      <c r="CI278" s="43">
        <f t="shared" si="57"/>
        <v>13875</v>
      </c>
      <c r="CJ278" s="31">
        <f>SUM(CJ275:CJ277)</f>
        <v>168625</v>
      </c>
    </row>
    <row r="279" ht="12.75">
      <c r="C279" s="15"/>
    </row>
    <row r="280" spans="1:3" ht="15.75">
      <c r="A280" s="16">
        <f>+A274+1</f>
        <v>27</v>
      </c>
      <c r="C280" s="13" t="s">
        <v>92</v>
      </c>
    </row>
    <row r="281" spans="3:88" ht="12.75">
      <c r="C281" s="4" t="str">
        <f>C275</f>
        <v>Debt Reserve</v>
      </c>
      <c r="BX281" s="26">
        <v>549.17</v>
      </c>
      <c r="BY281" s="26">
        <v>549.17</v>
      </c>
      <c r="BZ281" s="26">
        <v>549.17</v>
      </c>
      <c r="CA281" s="26">
        <v>549.17</v>
      </c>
      <c r="CB281" s="26">
        <v>549.17</v>
      </c>
      <c r="CC281" s="26">
        <v>549.17</v>
      </c>
      <c r="CD281" s="26">
        <v>549.17</v>
      </c>
      <c r="CE281" s="26">
        <v>549.17</v>
      </c>
      <c r="CF281" s="26">
        <v>549.17</v>
      </c>
      <c r="CG281" s="26">
        <v>549.17</v>
      </c>
      <c r="CH281" s="26">
        <v>549.17</v>
      </c>
      <c r="CI281" s="42">
        <v>538.17</v>
      </c>
      <c r="CJ281" s="26">
        <f>SUM(BX281:CI281)</f>
        <v>6579.04</v>
      </c>
    </row>
    <row r="282" spans="3:88" ht="12.75">
      <c r="C282" s="4" t="str">
        <f>C276</f>
        <v>Treasury Fee</v>
      </c>
      <c r="BX282" s="48">
        <v>250</v>
      </c>
      <c r="CJ282" s="26">
        <f>SUM(BX282:CI282)</f>
        <v>250</v>
      </c>
    </row>
    <row r="283" spans="3:88" ht="13.5" thickBot="1">
      <c r="C283" s="4" t="str">
        <f>C277</f>
        <v>Intercept</v>
      </c>
      <c r="BX283" s="26">
        <f aca="true" t="shared" si="58" ref="BX283:CH283">13750+26721.04</f>
        <v>40471.04</v>
      </c>
      <c r="BY283" s="26">
        <f t="shared" si="58"/>
        <v>40471.04</v>
      </c>
      <c r="BZ283" s="26">
        <f t="shared" si="58"/>
        <v>40471.04</v>
      </c>
      <c r="CA283" s="26">
        <f t="shared" si="58"/>
        <v>40471.04</v>
      </c>
      <c r="CB283" s="26">
        <f t="shared" si="58"/>
        <v>40471.04</v>
      </c>
      <c r="CC283" s="26">
        <f t="shared" si="58"/>
        <v>40471.04</v>
      </c>
      <c r="CD283" s="26">
        <f t="shared" si="58"/>
        <v>40471.04</v>
      </c>
      <c r="CE283" s="26">
        <f t="shared" si="58"/>
        <v>40471.04</v>
      </c>
      <c r="CF283" s="26">
        <f t="shared" si="58"/>
        <v>40471.04</v>
      </c>
      <c r="CG283" s="26">
        <f t="shared" si="58"/>
        <v>40471.04</v>
      </c>
      <c r="CH283" s="26">
        <f t="shared" si="58"/>
        <v>40471.04</v>
      </c>
      <c r="CI283" s="42">
        <f>14166.67+26157.29</f>
        <v>40323.96</v>
      </c>
      <c r="CJ283" s="26">
        <f>SUM(BX283:CI283)</f>
        <v>485505.39999999997</v>
      </c>
    </row>
    <row r="284" spans="3:88" ht="13.5" thickBot="1">
      <c r="C284" s="14" t="s">
        <v>93</v>
      </c>
      <c r="BX284" s="27">
        <f aca="true" t="shared" si="59" ref="BX284:CI284">SUM(BX281:BX283)</f>
        <v>41270.21</v>
      </c>
      <c r="BY284" s="27">
        <f t="shared" si="59"/>
        <v>41020.21</v>
      </c>
      <c r="BZ284" s="27">
        <f t="shared" si="59"/>
        <v>41020.21</v>
      </c>
      <c r="CA284" s="27">
        <f t="shared" si="59"/>
        <v>41020.21</v>
      </c>
      <c r="CB284" s="27">
        <f t="shared" si="59"/>
        <v>41020.21</v>
      </c>
      <c r="CC284" s="27">
        <f t="shared" si="59"/>
        <v>41020.21</v>
      </c>
      <c r="CD284" s="27">
        <f t="shared" si="59"/>
        <v>41020.21</v>
      </c>
      <c r="CE284" s="27">
        <f t="shared" si="59"/>
        <v>41020.21</v>
      </c>
      <c r="CF284" s="27">
        <f t="shared" si="59"/>
        <v>41020.21</v>
      </c>
      <c r="CG284" s="27">
        <f t="shared" si="59"/>
        <v>41020.21</v>
      </c>
      <c r="CH284" s="27">
        <f t="shared" si="59"/>
        <v>41020.21</v>
      </c>
      <c r="CI284" s="43">
        <f t="shared" si="59"/>
        <v>40862.13</v>
      </c>
      <c r="CJ284" s="31">
        <f>SUM(CJ281:CJ283)</f>
        <v>492334.43999999994</v>
      </c>
    </row>
    <row r="285" ht="12.75">
      <c r="C285" s="15"/>
    </row>
    <row r="286" spans="1:3" ht="21">
      <c r="A286" s="16">
        <f>+A280+1</f>
        <v>28</v>
      </c>
      <c r="B286" s="35" t="s">
        <v>103</v>
      </c>
      <c r="C286" s="36" t="s">
        <v>158</v>
      </c>
    </row>
    <row r="287" spans="3:88" ht="12.75">
      <c r="C287" s="4" t="str">
        <f>C281</f>
        <v>Debt Reserve</v>
      </c>
      <c r="BX287" s="26">
        <v>0</v>
      </c>
      <c r="BY287" s="26">
        <v>0</v>
      </c>
      <c r="BZ287" s="26">
        <v>0</v>
      </c>
      <c r="CA287" s="26">
        <v>0</v>
      </c>
      <c r="CB287" s="26">
        <v>0</v>
      </c>
      <c r="CC287" s="26">
        <v>0</v>
      </c>
      <c r="CD287" s="26">
        <v>0</v>
      </c>
      <c r="CE287" s="26">
        <v>0</v>
      </c>
      <c r="CF287" s="26">
        <v>0</v>
      </c>
      <c r="CG287" s="26">
        <v>0</v>
      </c>
      <c r="CH287" s="26">
        <v>0</v>
      </c>
      <c r="CI287" s="42">
        <v>0</v>
      </c>
      <c r="CJ287" s="26">
        <f>SUM(BX287:CI287)</f>
        <v>0</v>
      </c>
    </row>
    <row r="288" spans="3:88" ht="12.75">
      <c r="C288" s="4" t="str">
        <f>C282</f>
        <v>Treasury Fee</v>
      </c>
      <c r="BX288" s="48">
        <v>250</v>
      </c>
      <c r="CJ288" s="26">
        <f>SUM(BX288:CI288)</f>
        <v>250</v>
      </c>
    </row>
    <row r="289" spans="3:88" ht="13.5" thickBot="1">
      <c r="C289" s="4" t="str">
        <f>C283</f>
        <v>Intercept</v>
      </c>
      <c r="BX289" s="26">
        <v>17750</v>
      </c>
      <c r="BY289" s="26">
        <v>17750</v>
      </c>
      <c r="BZ289" s="26">
        <v>17750</v>
      </c>
      <c r="CA289" s="26">
        <f>9583.33+17750</f>
        <v>27333.33</v>
      </c>
      <c r="CB289" s="26">
        <f aca="true" t="shared" si="60" ref="CB289:CJ289">9583.33+17750</f>
        <v>27333.33</v>
      </c>
      <c r="CC289" s="26">
        <f t="shared" si="60"/>
        <v>27333.33</v>
      </c>
      <c r="CD289" s="26">
        <f t="shared" si="60"/>
        <v>27333.33</v>
      </c>
      <c r="CE289" s="26">
        <f t="shared" si="60"/>
        <v>27333.33</v>
      </c>
      <c r="CF289" s="26">
        <f t="shared" si="60"/>
        <v>27333.33</v>
      </c>
      <c r="CG289" s="26">
        <f t="shared" si="60"/>
        <v>27333.33</v>
      </c>
      <c r="CH289" s="26">
        <f t="shared" si="60"/>
        <v>27333.33</v>
      </c>
      <c r="CI289" s="42">
        <f t="shared" si="60"/>
        <v>27333.33</v>
      </c>
      <c r="CJ289" s="26">
        <f>SUM(BX289:CI289)</f>
        <v>299249.9700000001</v>
      </c>
    </row>
    <row r="290" spans="3:88" ht="13.5" thickBot="1">
      <c r="C290" s="14" t="s">
        <v>94</v>
      </c>
      <c r="BX290" s="27">
        <f aca="true" t="shared" si="61" ref="BX290:CI290">SUM(BX287:BX289)</f>
        <v>18000</v>
      </c>
      <c r="BY290" s="27">
        <f t="shared" si="61"/>
        <v>17750</v>
      </c>
      <c r="BZ290" s="27">
        <f t="shared" si="61"/>
        <v>17750</v>
      </c>
      <c r="CA290" s="27">
        <f t="shared" si="61"/>
        <v>27333.33</v>
      </c>
      <c r="CB290" s="27">
        <f t="shared" si="61"/>
        <v>27333.33</v>
      </c>
      <c r="CC290" s="27">
        <f t="shared" si="61"/>
        <v>27333.33</v>
      </c>
      <c r="CD290" s="27">
        <f t="shared" si="61"/>
        <v>27333.33</v>
      </c>
      <c r="CE290" s="27">
        <f t="shared" si="61"/>
        <v>27333.33</v>
      </c>
      <c r="CF290" s="27">
        <f t="shared" si="61"/>
        <v>27333.33</v>
      </c>
      <c r="CG290" s="27">
        <f t="shared" si="61"/>
        <v>27333.33</v>
      </c>
      <c r="CH290" s="27">
        <f t="shared" si="61"/>
        <v>27333.33</v>
      </c>
      <c r="CI290" s="43">
        <f t="shared" si="61"/>
        <v>27333.33</v>
      </c>
      <c r="CJ290" s="31">
        <f>SUM(CJ287:CJ289)</f>
        <v>299499.9700000001</v>
      </c>
    </row>
    <row r="291" ht="12.75">
      <c r="C291" s="15"/>
    </row>
    <row r="292" spans="1:3" ht="21">
      <c r="A292" s="16"/>
      <c r="B292" s="9" t="s">
        <v>105</v>
      </c>
      <c r="C292" s="49" t="s">
        <v>95</v>
      </c>
    </row>
    <row r="293" spans="3:88" ht="12.75">
      <c r="C293" s="4" t="str">
        <f>C287</f>
        <v>Debt Reserve</v>
      </c>
      <c r="BX293" s="26">
        <v>0</v>
      </c>
      <c r="BY293" s="26">
        <v>0</v>
      </c>
      <c r="BZ293" s="26">
        <v>0</v>
      </c>
      <c r="CA293" s="26">
        <v>0</v>
      </c>
      <c r="CB293" s="26">
        <v>0</v>
      </c>
      <c r="CC293" s="26">
        <v>0</v>
      </c>
      <c r="CD293" s="26"/>
      <c r="CE293" s="26"/>
      <c r="CF293" s="26"/>
      <c r="CG293" s="26"/>
      <c r="CH293" s="26"/>
      <c r="CI293" s="42"/>
      <c r="CJ293" s="26">
        <f>SUM(BX293:CI293)</f>
        <v>0</v>
      </c>
    </row>
    <row r="294" spans="3:88" ht="12.75">
      <c r="C294" s="4" t="str">
        <f>C288</f>
        <v>Treasury Fee</v>
      </c>
      <c r="BX294" s="48">
        <v>250</v>
      </c>
      <c r="CJ294" s="26">
        <f>SUM(BX294:CI294)</f>
        <v>250</v>
      </c>
    </row>
    <row r="295" spans="3:88" ht="13.5" thickBot="1">
      <c r="C295" s="4" t="str">
        <f>C289</f>
        <v>Intercept</v>
      </c>
      <c r="BX295" s="26">
        <f>18750+55707.81</f>
        <v>74457.81</v>
      </c>
      <c r="BY295" s="26">
        <f>18750+55707.81</f>
        <v>74457.81</v>
      </c>
      <c r="BZ295" s="26">
        <f>18750+55707.81</f>
        <v>74457.81</v>
      </c>
      <c r="CA295" s="26">
        <f>20000+54676.56</f>
        <v>74676.56</v>
      </c>
      <c r="CB295" s="26">
        <f>20000+54676.56</f>
        <v>74676.56</v>
      </c>
      <c r="CC295" s="26">
        <f>20000+54676.56</f>
        <v>74676.56</v>
      </c>
      <c r="CD295" s="26"/>
      <c r="CE295" s="26"/>
      <c r="CF295" s="26"/>
      <c r="CG295" s="26"/>
      <c r="CH295" s="26"/>
      <c r="CI295" s="42"/>
      <c r="CJ295" s="26">
        <f>SUM(BX295:CI295)</f>
        <v>447403.11</v>
      </c>
    </row>
    <row r="296" spans="3:88" ht="13.5" thickBot="1">
      <c r="C296" s="14" t="s">
        <v>96</v>
      </c>
      <c r="BX296" s="27">
        <f aca="true" t="shared" si="62" ref="BX296:CI296">SUM(BX293:BX295)</f>
        <v>74707.81</v>
      </c>
      <c r="BY296" s="27">
        <f t="shared" si="62"/>
        <v>74457.81</v>
      </c>
      <c r="BZ296" s="27">
        <f t="shared" si="62"/>
        <v>74457.81</v>
      </c>
      <c r="CA296" s="27">
        <f t="shared" si="62"/>
        <v>74676.56</v>
      </c>
      <c r="CB296" s="27">
        <f t="shared" si="62"/>
        <v>74676.56</v>
      </c>
      <c r="CC296" s="27">
        <f t="shared" si="62"/>
        <v>74676.56</v>
      </c>
      <c r="CD296" s="27">
        <f t="shared" si="62"/>
        <v>0</v>
      </c>
      <c r="CE296" s="27">
        <f t="shared" si="62"/>
        <v>0</v>
      </c>
      <c r="CF296" s="27">
        <f t="shared" si="62"/>
        <v>0</v>
      </c>
      <c r="CG296" s="27">
        <f t="shared" si="62"/>
        <v>0</v>
      </c>
      <c r="CH296" s="27">
        <f t="shared" si="62"/>
        <v>0</v>
      </c>
      <c r="CI296" s="43">
        <f t="shared" si="62"/>
        <v>0</v>
      </c>
      <c r="CJ296" s="31">
        <f>SUM(CJ293:CJ295)</f>
        <v>447653.11</v>
      </c>
    </row>
    <row r="297" ht="12.75">
      <c r="C297" s="15"/>
    </row>
    <row r="298" spans="1:3" ht="21">
      <c r="A298" s="16"/>
      <c r="B298" s="18" t="s">
        <v>104</v>
      </c>
      <c r="C298" s="19" t="s">
        <v>97</v>
      </c>
    </row>
    <row r="299" ht="12.75">
      <c r="C299" s="4" t="str">
        <f>C293</f>
        <v>Debt Reserve</v>
      </c>
    </row>
    <row r="300" ht="12.75">
      <c r="C300" s="4" t="str">
        <f>C294</f>
        <v>Treasury Fee</v>
      </c>
    </row>
    <row r="301" ht="13.5" thickBot="1">
      <c r="C301" s="4" t="str">
        <f>C295</f>
        <v>Intercept</v>
      </c>
    </row>
    <row r="302" ht="13.5" thickBot="1">
      <c r="C302" s="14" t="s">
        <v>98</v>
      </c>
    </row>
    <row r="303" ht="12.75">
      <c r="C303" s="15"/>
    </row>
    <row r="304" spans="1:3" ht="21">
      <c r="A304" s="16">
        <f>+A286+1</f>
        <v>29</v>
      </c>
      <c r="B304" s="17"/>
      <c r="C304" s="5" t="s">
        <v>99</v>
      </c>
    </row>
    <row r="305" spans="3:88" ht="12.75">
      <c r="C305" s="4" t="str">
        <f>C299</f>
        <v>Debt Reserve</v>
      </c>
      <c r="BX305" s="26">
        <v>810.42</v>
      </c>
      <c r="BY305" s="26">
        <v>810.42</v>
      </c>
      <c r="BZ305" s="26">
        <v>810.42</v>
      </c>
      <c r="CA305" s="26">
        <v>810.42</v>
      </c>
      <c r="CB305" s="26">
        <v>810.42</v>
      </c>
      <c r="CC305" s="26">
        <v>810.42</v>
      </c>
      <c r="CD305" s="26">
        <v>793.75</v>
      </c>
      <c r="CE305" s="26">
        <v>793.75</v>
      </c>
      <c r="CF305" s="26">
        <v>793.75</v>
      </c>
      <c r="CG305" s="26">
        <v>793.75</v>
      </c>
      <c r="CH305" s="26">
        <v>793.75</v>
      </c>
      <c r="CI305" s="42">
        <v>793.75</v>
      </c>
      <c r="CJ305" s="26">
        <f>SUM(BX305:CI305)</f>
        <v>9625.02</v>
      </c>
    </row>
    <row r="306" spans="3:88" ht="12.75">
      <c r="C306" s="4" t="str">
        <f>C300</f>
        <v>Treasury Fee</v>
      </c>
      <c r="BX306" s="48">
        <v>250</v>
      </c>
      <c r="CJ306" s="26">
        <f>SUM(BX306:CI306)</f>
        <v>250</v>
      </c>
    </row>
    <row r="307" spans="3:88" ht="13.5" thickBot="1">
      <c r="C307" s="4" t="str">
        <f>C301</f>
        <v>Intercept</v>
      </c>
      <c r="BX307" s="26">
        <f aca="true" t="shared" si="63" ref="BX307:CH307">17083.33+41364.06</f>
        <v>58447.39</v>
      </c>
      <c r="BY307" s="26">
        <f t="shared" si="63"/>
        <v>58447.39</v>
      </c>
      <c r="BZ307" s="26">
        <f t="shared" si="63"/>
        <v>58447.39</v>
      </c>
      <c r="CA307" s="26">
        <f t="shared" si="63"/>
        <v>58447.39</v>
      </c>
      <c r="CB307" s="26">
        <f t="shared" si="63"/>
        <v>58447.39</v>
      </c>
      <c r="CC307" s="26">
        <f t="shared" si="63"/>
        <v>58447.39</v>
      </c>
      <c r="CD307" s="26">
        <f t="shared" si="63"/>
        <v>58447.39</v>
      </c>
      <c r="CE307" s="26">
        <f t="shared" si="63"/>
        <v>58447.39</v>
      </c>
      <c r="CF307" s="26">
        <f t="shared" si="63"/>
        <v>58447.39</v>
      </c>
      <c r="CG307" s="26">
        <f t="shared" si="63"/>
        <v>58447.39</v>
      </c>
      <c r="CH307" s="26">
        <f t="shared" si="63"/>
        <v>58447.39</v>
      </c>
      <c r="CI307" s="42">
        <f>18333.33+40509.9</f>
        <v>58843.23</v>
      </c>
      <c r="CJ307" s="26">
        <f>SUM(BX307:CI307)</f>
        <v>701764.52</v>
      </c>
    </row>
    <row r="308" spans="3:88" ht="13.5" thickBot="1">
      <c r="C308" s="6" t="s">
        <v>100</v>
      </c>
      <c r="BX308" s="27">
        <f aca="true" t="shared" si="64" ref="BX308:CI308">SUM(BX305:BX307)</f>
        <v>59507.81</v>
      </c>
      <c r="BY308" s="27">
        <f t="shared" si="64"/>
        <v>59257.81</v>
      </c>
      <c r="BZ308" s="27">
        <f t="shared" si="64"/>
        <v>59257.81</v>
      </c>
      <c r="CA308" s="27">
        <f t="shared" si="64"/>
        <v>59257.81</v>
      </c>
      <c r="CB308" s="27">
        <f t="shared" si="64"/>
        <v>59257.81</v>
      </c>
      <c r="CC308" s="27">
        <f t="shared" si="64"/>
        <v>59257.81</v>
      </c>
      <c r="CD308" s="27">
        <f t="shared" si="64"/>
        <v>59241.14</v>
      </c>
      <c r="CE308" s="27">
        <f t="shared" si="64"/>
        <v>59241.14</v>
      </c>
      <c r="CF308" s="27">
        <f t="shared" si="64"/>
        <v>59241.14</v>
      </c>
      <c r="CG308" s="27">
        <f t="shared" si="64"/>
        <v>59241.14</v>
      </c>
      <c r="CH308" s="27">
        <f t="shared" si="64"/>
        <v>59241.14</v>
      </c>
      <c r="CI308" s="43">
        <f t="shared" si="64"/>
        <v>59636.98</v>
      </c>
      <c r="CJ308" s="31">
        <f>SUM(CJ305:CJ307)</f>
        <v>711639.54</v>
      </c>
    </row>
    <row r="309" ht="12.75">
      <c r="C309" s="15"/>
    </row>
    <row r="310" spans="1:3" ht="21">
      <c r="A310" s="16">
        <f>+A304+1</f>
        <v>30</v>
      </c>
      <c r="B310" s="35" t="s">
        <v>103</v>
      </c>
      <c r="C310" s="34" t="s">
        <v>101</v>
      </c>
    </row>
    <row r="311" spans="3:88" ht="12.75">
      <c r="C311" s="4" t="str">
        <f>C305</f>
        <v>Debt Reserve</v>
      </c>
      <c r="BX311" s="26">
        <v>0</v>
      </c>
      <c r="BY311" s="26">
        <v>0</v>
      </c>
      <c r="BZ311" s="26">
        <v>0</v>
      </c>
      <c r="CA311" s="26">
        <v>0</v>
      </c>
      <c r="CB311" s="26">
        <v>0</v>
      </c>
      <c r="CC311" s="26">
        <v>0</v>
      </c>
      <c r="CD311" s="26">
        <v>0</v>
      </c>
      <c r="CE311" s="26">
        <v>0</v>
      </c>
      <c r="CF311" s="26">
        <v>0</v>
      </c>
      <c r="CG311" s="26">
        <v>0</v>
      </c>
      <c r="CH311" s="26">
        <v>0</v>
      </c>
      <c r="CI311" s="42">
        <v>0</v>
      </c>
      <c r="CJ311" s="26">
        <f>SUM(BX311:CI311)</f>
        <v>0</v>
      </c>
    </row>
    <row r="312" spans="3:88" ht="12.75">
      <c r="C312" s="4" t="str">
        <f>C306</f>
        <v>Treasury Fee</v>
      </c>
      <c r="BX312" s="48">
        <v>250</v>
      </c>
      <c r="CJ312" s="26">
        <f>SUM(BX312:CI312)</f>
        <v>250</v>
      </c>
    </row>
    <row r="313" spans="3:88" ht="13.5" thickBot="1">
      <c r="C313" s="4" t="str">
        <f>C307</f>
        <v>Intercept</v>
      </c>
      <c r="BX313" s="26">
        <f>12916.67+42773.96</f>
        <v>55690.63</v>
      </c>
      <c r="BY313" s="26">
        <f aca="true" t="shared" si="65" ref="BY313:CI313">12916.67+42773.96</f>
        <v>55690.63</v>
      </c>
      <c r="BZ313" s="26">
        <f t="shared" si="65"/>
        <v>55690.63</v>
      </c>
      <c r="CA313" s="26">
        <f t="shared" si="65"/>
        <v>55690.63</v>
      </c>
      <c r="CB313" s="26">
        <f t="shared" si="65"/>
        <v>55690.63</v>
      </c>
      <c r="CC313" s="26">
        <f t="shared" si="65"/>
        <v>55690.63</v>
      </c>
      <c r="CD313" s="26">
        <f t="shared" si="65"/>
        <v>55690.63</v>
      </c>
      <c r="CE313" s="26">
        <f t="shared" si="65"/>
        <v>55690.63</v>
      </c>
      <c r="CF313" s="26">
        <f t="shared" si="65"/>
        <v>55690.63</v>
      </c>
      <c r="CG313" s="26">
        <f t="shared" si="65"/>
        <v>55690.63</v>
      </c>
      <c r="CH313" s="26">
        <f t="shared" si="65"/>
        <v>55690.63</v>
      </c>
      <c r="CI313" s="42">
        <f t="shared" si="65"/>
        <v>55690.63</v>
      </c>
      <c r="CJ313" s="26">
        <f>SUM(BX313:CI313)</f>
        <v>668287.5599999999</v>
      </c>
    </row>
    <row r="314" spans="3:88" ht="13.5" thickBot="1">
      <c r="C314" s="6" t="s">
        <v>102</v>
      </c>
      <c r="BX314" s="27">
        <f aca="true" t="shared" si="66" ref="BX314:CI314">SUM(BX311:BX313)</f>
        <v>55940.63</v>
      </c>
      <c r="BY314" s="27">
        <f t="shared" si="66"/>
        <v>55690.63</v>
      </c>
      <c r="BZ314" s="27">
        <f t="shared" si="66"/>
        <v>55690.63</v>
      </c>
      <c r="CA314" s="27">
        <f t="shared" si="66"/>
        <v>55690.63</v>
      </c>
      <c r="CB314" s="27">
        <f t="shared" si="66"/>
        <v>55690.63</v>
      </c>
      <c r="CC314" s="27">
        <f t="shared" si="66"/>
        <v>55690.63</v>
      </c>
      <c r="CD314" s="27">
        <f t="shared" si="66"/>
        <v>55690.63</v>
      </c>
      <c r="CE314" s="27">
        <f t="shared" si="66"/>
        <v>55690.63</v>
      </c>
      <c r="CF314" s="27">
        <f t="shared" si="66"/>
        <v>55690.63</v>
      </c>
      <c r="CG314" s="27">
        <f t="shared" si="66"/>
        <v>55690.63</v>
      </c>
      <c r="CH314" s="27">
        <f t="shared" si="66"/>
        <v>55690.63</v>
      </c>
      <c r="CI314" s="43">
        <f t="shared" si="66"/>
        <v>55690.63</v>
      </c>
      <c r="CJ314" s="31">
        <f>SUM(CJ311:CJ313)</f>
        <v>668537.5599999999</v>
      </c>
    </row>
    <row r="315" ht="12.75">
      <c r="C315" s="15"/>
    </row>
    <row r="316" spans="1:3" ht="21">
      <c r="A316" s="16">
        <f>+A310+1</f>
        <v>31</v>
      </c>
      <c r="B316" s="17"/>
      <c r="C316" s="5" t="s">
        <v>106</v>
      </c>
    </row>
    <row r="317" spans="3:88" ht="12.75">
      <c r="C317" s="4" t="str">
        <f>C311</f>
        <v>Debt Reserve</v>
      </c>
      <c r="BX317" s="26">
        <v>0</v>
      </c>
      <c r="BY317" s="26">
        <v>0</v>
      </c>
      <c r="BZ317" s="26">
        <v>0</v>
      </c>
      <c r="CA317" s="26">
        <v>0</v>
      </c>
      <c r="CB317" s="26">
        <v>0</v>
      </c>
      <c r="CC317" s="26">
        <v>0</v>
      </c>
      <c r="CD317" s="26">
        <v>0</v>
      </c>
      <c r="CE317" s="26">
        <v>0</v>
      </c>
      <c r="CF317" s="26">
        <v>0</v>
      </c>
      <c r="CG317" s="26">
        <v>0</v>
      </c>
      <c r="CH317" s="26">
        <v>0</v>
      </c>
      <c r="CI317" s="42">
        <v>0</v>
      </c>
      <c r="CJ317" s="26">
        <f>SUM(BX317:CI317)</f>
        <v>0</v>
      </c>
    </row>
    <row r="318" spans="3:88" ht="12.75">
      <c r="C318" s="4" t="str">
        <f>C312</f>
        <v>Treasury Fee</v>
      </c>
      <c r="BX318" s="48">
        <v>250</v>
      </c>
      <c r="CJ318" s="26">
        <f>SUM(BX318:CI318)</f>
        <v>250</v>
      </c>
    </row>
    <row r="319" spans="3:88" ht="13.5" thickBot="1">
      <c r="C319" s="4" t="str">
        <f>C313</f>
        <v>Intercept</v>
      </c>
      <c r="BX319" s="26">
        <f aca="true" t="shared" si="67" ref="BX319:CF319">5833.33+25931.25</f>
        <v>31764.58</v>
      </c>
      <c r="BY319" s="26">
        <f t="shared" si="67"/>
        <v>31764.58</v>
      </c>
      <c r="BZ319" s="26">
        <f t="shared" si="67"/>
        <v>31764.58</v>
      </c>
      <c r="CA319" s="26">
        <f t="shared" si="67"/>
        <v>31764.58</v>
      </c>
      <c r="CB319" s="26">
        <f t="shared" si="67"/>
        <v>31764.58</v>
      </c>
      <c r="CC319" s="26">
        <f t="shared" si="67"/>
        <v>31764.58</v>
      </c>
      <c r="CD319" s="26">
        <f t="shared" si="67"/>
        <v>31764.58</v>
      </c>
      <c r="CE319" s="26">
        <f t="shared" si="67"/>
        <v>31764.58</v>
      </c>
      <c r="CF319" s="26">
        <f t="shared" si="67"/>
        <v>31764.58</v>
      </c>
      <c r="CG319" s="26">
        <f>6250+25537.5</f>
        <v>31787.5</v>
      </c>
      <c r="CH319" s="26">
        <f>6250+25537.5</f>
        <v>31787.5</v>
      </c>
      <c r="CI319" s="42">
        <f>6250+25537.5</f>
        <v>31787.5</v>
      </c>
      <c r="CJ319" s="26">
        <f>SUM(BX319:CI319)</f>
        <v>381243.7200000001</v>
      </c>
    </row>
    <row r="320" spans="3:88" ht="13.5" thickBot="1">
      <c r="C320" s="6" t="s">
        <v>107</v>
      </c>
      <c r="BX320" s="27">
        <f aca="true" t="shared" si="68" ref="BX320:CI320">SUM(BX317:BX319)</f>
        <v>32014.58</v>
      </c>
      <c r="BY320" s="27">
        <f t="shared" si="68"/>
        <v>31764.58</v>
      </c>
      <c r="BZ320" s="27">
        <f t="shared" si="68"/>
        <v>31764.58</v>
      </c>
      <c r="CA320" s="27">
        <f t="shared" si="68"/>
        <v>31764.58</v>
      </c>
      <c r="CB320" s="27">
        <f t="shared" si="68"/>
        <v>31764.58</v>
      </c>
      <c r="CC320" s="27">
        <f t="shared" si="68"/>
        <v>31764.58</v>
      </c>
      <c r="CD320" s="27">
        <f t="shared" si="68"/>
        <v>31764.58</v>
      </c>
      <c r="CE320" s="27">
        <f t="shared" si="68"/>
        <v>31764.58</v>
      </c>
      <c r="CF320" s="27">
        <f t="shared" si="68"/>
        <v>31764.58</v>
      </c>
      <c r="CG320" s="27">
        <f t="shared" si="68"/>
        <v>31787.5</v>
      </c>
      <c r="CH320" s="27">
        <f t="shared" si="68"/>
        <v>31787.5</v>
      </c>
      <c r="CI320" s="43">
        <f t="shared" si="68"/>
        <v>31787.5</v>
      </c>
      <c r="CJ320" s="31">
        <f>SUM(CJ317:CJ319)</f>
        <v>381493.7200000001</v>
      </c>
    </row>
    <row r="321" ht="12.75">
      <c r="C321" s="12"/>
    </row>
    <row r="322" spans="1:3" ht="21">
      <c r="A322" s="16"/>
      <c r="B322" s="9" t="s">
        <v>105</v>
      </c>
      <c r="C322" s="10" t="s">
        <v>108</v>
      </c>
    </row>
    <row r="323" ht="12.75">
      <c r="C323" s="4" t="str">
        <f>C317</f>
        <v>Debt Reserve</v>
      </c>
    </row>
    <row r="324" ht="12.75">
      <c r="C324" s="4" t="str">
        <f>C318</f>
        <v>Treasury Fee</v>
      </c>
    </row>
    <row r="325" ht="13.5" thickBot="1">
      <c r="C325" s="4" t="str">
        <f>C319</f>
        <v>Intercept</v>
      </c>
    </row>
    <row r="326" ht="13.5" thickBot="1">
      <c r="C326" s="6" t="s">
        <v>109</v>
      </c>
    </row>
    <row r="327" ht="12.75">
      <c r="C327" s="12"/>
    </row>
    <row r="328" spans="1:3" ht="21">
      <c r="A328" s="16">
        <f>+A316+1</f>
        <v>32</v>
      </c>
      <c r="B328" s="17"/>
      <c r="C328" s="5" t="s">
        <v>110</v>
      </c>
    </row>
    <row r="329" spans="3:88" ht="12.75">
      <c r="C329" s="4" t="str">
        <f>C323</f>
        <v>Debt Reserve</v>
      </c>
      <c r="BX329" s="26">
        <v>0</v>
      </c>
      <c r="BY329" s="26">
        <v>0</v>
      </c>
      <c r="BZ329" s="26">
        <v>0</v>
      </c>
      <c r="CA329" s="26">
        <v>0</v>
      </c>
      <c r="CB329" s="26">
        <v>0</v>
      </c>
      <c r="CC329" s="26">
        <v>0</v>
      </c>
      <c r="CD329" s="26">
        <v>0</v>
      </c>
      <c r="CE329" s="26">
        <v>0</v>
      </c>
      <c r="CF329" s="26">
        <v>0</v>
      </c>
      <c r="CG329" s="26">
        <v>0</v>
      </c>
      <c r="CH329" s="26">
        <v>0</v>
      </c>
      <c r="CI329" s="42">
        <v>0</v>
      </c>
      <c r="CJ329" s="26">
        <f>SUM(BX329:CI329)</f>
        <v>0</v>
      </c>
    </row>
    <row r="330" spans="3:88" ht="12.75">
      <c r="C330" s="4" t="str">
        <f>C324</f>
        <v>Treasury Fee</v>
      </c>
      <c r="BX330" s="48">
        <v>250</v>
      </c>
      <c r="CJ330" s="26">
        <f>SUM(BX330:CI330)</f>
        <v>250</v>
      </c>
    </row>
    <row r="331" spans="3:88" ht="13.5" thickBot="1">
      <c r="C331" s="4" t="str">
        <f>C325</f>
        <v>Intercept</v>
      </c>
      <c r="BX331" s="26">
        <f aca="true" t="shared" si="69" ref="BX331:CG331">8333.33+33539.06</f>
        <v>41872.39</v>
      </c>
      <c r="BY331" s="26">
        <f t="shared" si="69"/>
        <v>41872.39</v>
      </c>
      <c r="BZ331" s="26">
        <f t="shared" si="69"/>
        <v>41872.39</v>
      </c>
      <c r="CA331" s="26">
        <f t="shared" si="69"/>
        <v>41872.39</v>
      </c>
      <c r="CB331" s="26">
        <f t="shared" si="69"/>
        <v>41872.39</v>
      </c>
      <c r="CC331" s="26">
        <f t="shared" si="69"/>
        <v>41872.39</v>
      </c>
      <c r="CD331" s="26">
        <f t="shared" si="69"/>
        <v>41872.39</v>
      </c>
      <c r="CE331" s="26">
        <f t="shared" si="69"/>
        <v>41872.39</v>
      </c>
      <c r="CF331" s="26">
        <f t="shared" si="69"/>
        <v>41872.39</v>
      </c>
      <c r="CG331" s="26">
        <f t="shared" si="69"/>
        <v>41872.39</v>
      </c>
      <c r="CH331" s="26">
        <f>8750+32986.98</f>
        <v>41736.98</v>
      </c>
      <c r="CI331" s="42">
        <f>8750+32986.98</f>
        <v>41736.98</v>
      </c>
      <c r="CJ331" s="26">
        <f>SUM(BX331:CI331)</f>
        <v>502197.86000000004</v>
      </c>
    </row>
    <row r="332" spans="3:88" ht="13.5" thickBot="1">
      <c r="C332" s="6" t="s">
        <v>111</v>
      </c>
      <c r="BX332" s="27">
        <f aca="true" t="shared" si="70" ref="BX332:CI332">SUM(BX329:BX331)</f>
        <v>42122.39</v>
      </c>
      <c r="BY332" s="27">
        <f t="shared" si="70"/>
        <v>41872.39</v>
      </c>
      <c r="BZ332" s="27">
        <f t="shared" si="70"/>
        <v>41872.39</v>
      </c>
      <c r="CA332" s="27">
        <f t="shared" si="70"/>
        <v>41872.39</v>
      </c>
      <c r="CB332" s="27">
        <f t="shared" si="70"/>
        <v>41872.39</v>
      </c>
      <c r="CC332" s="27">
        <f t="shared" si="70"/>
        <v>41872.39</v>
      </c>
      <c r="CD332" s="27">
        <f t="shared" si="70"/>
        <v>41872.39</v>
      </c>
      <c r="CE332" s="27">
        <f t="shared" si="70"/>
        <v>41872.39</v>
      </c>
      <c r="CF332" s="27">
        <f t="shared" si="70"/>
        <v>41872.39</v>
      </c>
      <c r="CG332" s="27">
        <f t="shared" si="70"/>
        <v>41872.39</v>
      </c>
      <c r="CH332" s="27">
        <f t="shared" si="70"/>
        <v>41736.98</v>
      </c>
      <c r="CI332" s="43">
        <f t="shared" si="70"/>
        <v>41736.98</v>
      </c>
      <c r="CJ332" s="31">
        <f>SUM(CJ329:CJ331)</f>
        <v>502447.86000000004</v>
      </c>
    </row>
    <row r="333" ht="12.75">
      <c r="C333" s="12"/>
    </row>
    <row r="334" spans="1:3" ht="21">
      <c r="A334" s="16">
        <f>+A328+1</f>
        <v>33</v>
      </c>
      <c r="B334" s="17"/>
      <c r="C334" s="5" t="s">
        <v>112</v>
      </c>
    </row>
    <row r="335" spans="3:88" ht="12.75">
      <c r="C335" s="4" t="str">
        <f>C329</f>
        <v>Debt Reserve</v>
      </c>
      <c r="BX335" s="26">
        <v>0</v>
      </c>
      <c r="BY335" s="26">
        <v>0</v>
      </c>
      <c r="BZ335" s="26">
        <v>0</v>
      </c>
      <c r="CA335" s="26">
        <v>0</v>
      </c>
      <c r="CB335" s="26">
        <v>0</v>
      </c>
      <c r="CC335" s="26">
        <v>0</v>
      </c>
      <c r="CD335" s="26">
        <v>0</v>
      </c>
      <c r="CE335" s="26">
        <v>0</v>
      </c>
      <c r="CF335" s="26">
        <v>0</v>
      </c>
      <c r="CG335" s="26">
        <v>0</v>
      </c>
      <c r="CH335" s="26">
        <v>0</v>
      </c>
      <c r="CI335" s="42">
        <v>0</v>
      </c>
      <c r="CJ335" s="26">
        <f>SUM(BX335:CI335)</f>
        <v>0</v>
      </c>
    </row>
    <row r="336" spans="3:88" ht="12.75">
      <c r="C336" s="4" t="str">
        <f>C330</f>
        <v>Treasury Fee</v>
      </c>
      <c r="BX336" s="48">
        <v>250</v>
      </c>
      <c r="CJ336" s="26">
        <f>SUM(BX336:CI336)</f>
        <v>250</v>
      </c>
    </row>
    <row r="337" spans="3:88" ht="13.5" thickBot="1">
      <c r="C337" s="4" t="str">
        <f>C331</f>
        <v>Intercept</v>
      </c>
      <c r="BX337" s="26">
        <f>17916.67+75437.5</f>
        <v>93354.17</v>
      </c>
      <c r="BY337" s="26">
        <f>19166.67+74228.13</f>
        <v>93394.8</v>
      </c>
      <c r="BZ337" s="26">
        <f aca="true" t="shared" si="71" ref="BZ337:CJ337">19166.67+74228.13</f>
        <v>93394.8</v>
      </c>
      <c r="CA337" s="26">
        <f t="shared" si="71"/>
        <v>93394.8</v>
      </c>
      <c r="CB337" s="26">
        <f t="shared" si="71"/>
        <v>93394.8</v>
      </c>
      <c r="CC337" s="26">
        <f t="shared" si="71"/>
        <v>93394.8</v>
      </c>
      <c r="CD337" s="26">
        <f t="shared" si="71"/>
        <v>93394.8</v>
      </c>
      <c r="CE337" s="26">
        <f t="shared" si="71"/>
        <v>93394.8</v>
      </c>
      <c r="CF337" s="26">
        <f t="shared" si="71"/>
        <v>93394.8</v>
      </c>
      <c r="CG337" s="26">
        <f t="shared" si="71"/>
        <v>93394.8</v>
      </c>
      <c r="CH337" s="26">
        <f t="shared" si="71"/>
        <v>93394.8</v>
      </c>
      <c r="CI337" s="42">
        <f t="shared" si="71"/>
        <v>93394.8</v>
      </c>
      <c r="CJ337" s="26">
        <f>SUM(BX337:CI337)</f>
        <v>1120696.9700000002</v>
      </c>
    </row>
    <row r="338" spans="3:88" ht="13.5" thickBot="1">
      <c r="C338" s="6" t="s">
        <v>113</v>
      </c>
      <c r="BX338" s="27">
        <f aca="true" t="shared" si="72" ref="BX338:CI338">SUM(BX335:BX337)</f>
        <v>93604.17</v>
      </c>
      <c r="BY338" s="27">
        <f t="shared" si="72"/>
        <v>93394.8</v>
      </c>
      <c r="BZ338" s="27">
        <f t="shared" si="72"/>
        <v>93394.8</v>
      </c>
      <c r="CA338" s="27">
        <f t="shared" si="72"/>
        <v>93394.8</v>
      </c>
      <c r="CB338" s="27">
        <f t="shared" si="72"/>
        <v>93394.8</v>
      </c>
      <c r="CC338" s="27">
        <f t="shared" si="72"/>
        <v>93394.8</v>
      </c>
      <c r="CD338" s="27">
        <f t="shared" si="72"/>
        <v>93394.8</v>
      </c>
      <c r="CE338" s="27">
        <f t="shared" si="72"/>
        <v>93394.8</v>
      </c>
      <c r="CF338" s="27">
        <f t="shared" si="72"/>
        <v>93394.8</v>
      </c>
      <c r="CG338" s="27">
        <f t="shared" si="72"/>
        <v>93394.8</v>
      </c>
      <c r="CH338" s="27">
        <f t="shared" si="72"/>
        <v>93394.8</v>
      </c>
      <c r="CI338" s="43">
        <f t="shared" si="72"/>
        <v>93394.8</v>
      </c>
      <c r="CJ338" s="31">
        <f>SUM(CJ335:CJ337)</f>
        <v>1120946.9700000002</v>
      </c>
    </row>
    <row r="339" ht="12.75">
      <c r="C339" s="12"/>
    </row>
    <row r="340" spans="1:3" ht="21">
      <c r="A340" s="16">
        <f>+A334+1</f>
        <v>34</v>
      </c>
      <c r="B340" s="17"/>
      <c r="C340" s="5" t="s">
        <v>114</v>
      </c>
    </row>
    <row r="341" spans="3:88" ht="12.75">
      <c r="C341" s="4" t="str">
        <f>C335</f>
        <v>Debt Reserve</v>
      </c>
      <c r="BX341" s="26">
        <v>512.08</v>
      </c>
      <c r="BY341" s="26">
        <v>512.08</v>
      </c>
      <c r="BZ341" s="26">
        <v>512.08</v>
      </c>
      <c r="CA341" s="26">
        <v>512.08</v>
      </c>
      <c r="CB341" s="26">
        <v>512.08</v>
      </c>
      <c r="CC341" s="26">
        <v>512.08</v>
      </c>
      <c r="CD341" s="26">
        <v>512.08</v>
      </c>
      <c r="CE341" s="26">
        <v>512.08</v>
      </c>
      <c r="CF341" s="26">
        <v>512.08</v>
      </c>
      <c r="CG341" s="26">
        <v>512.08</v>
      </c>
      <c r="CH341" s="26">
        <v>512.08</v>
      </c>
      <c r="CI341" s="42">
        <v>512.08</v>
      </c>
      <c r="CJ341" s="26">
        <f>SUM(BX341:CI341)</f>
        <v>6144.96</v>
      </c>
    </row>
    <row r="342" spans="3:88" ht="12.75">
      <c r="C342" s="4" t="str">
        <f>C336</f>
        <v>Treasury Fee</v>
      </c>
      <c r="BX342" s="48">
        <v>250</v>
      </c>
      <c r="CJ342" s="26">
        <f>SUM(BX342:CI342)</f>
        <v>250</v>
      </c>
    </row>
    <row r="343" spans="3:88" ht="13.5" thickBot="1">
      <c r="C343" s="4" t="str">
        <f>C337</f>
        <v>Intercept</v>
      </c>
      <c r="BX343" s="26">
        <v>28804.69</v>
      </c>
      <c r="BY343" s="26">
        <v>28804.69</v>
      </c>
      <c r="BZ343" s="26">
        <v>28804.69</v>
      </c>
      <c r="CA343" s="26">
        <v>28804.69</v>
      </c>
      <c r="CB343" s="26">
        <v>28804.69</v>
      </c>
      <c r="CC343" s="26">
        <v>28804.69</v>
      </c>
      <c r="CD343" s="26">
        <v>28804.69</v>
      </c>
      <c r="CE343" s="26">
        <v>28804.69</v>
      </c>
      <c r="CF343" s="26">
        <v>28804.69</v>
      </c>
      <c r="CG343" s="26">
        <v>28804.69</v>
      </c>
      <c r="CH343" s="26">
        <v>28804.69</v>
      </c>
      <c r="CI343" s="42">
        <v>28804.69</v>
      </c>
      <c r="CJ343" s="26">
        <f>SUM(BX343:CI343)</f>
        <v>345656.27999999997</v>
      </c>
    </row>
    <row r="344" spans="3:88" ht="13.5" thickBot="1">
      <c r="C344" s="6" t="s">
        <v>26</v>
      </c>
      <c r="BX344" s="27">
        <f aca="true" t="shared" si="73" ref="BX344:CI344">SUM(BX341:BX343)</f>
        <v>29566.77</v>
      </c>
      <c r="BY344" s="27">
        <f t="shared" si="73"/>
        <v>29316.77</v>
      </c>
      <c r="BZ344" s="27">
        <f t="shared" si="73"/>
        <v>29316.77</v>
      </c>
      <c r="CA344" s="27">
        <f t="shared" si="73"/>
        <v>29316.77</v>
      </c>
      <c r="CB344" s="27">
        <f t="shared" si="73"/>
        <v>29316.77</v>
      </c>
      <c r="CC344" s="27">
        <f t="shared" si="73"/>
        <v>29316.77</v>
      </c>
      <c r="CD344" s="27">
        <f t="shared" si="73"/>
        <v>29316.77</v>
      </c>
      <c r="CE344" s="27">
        <f t="shared" si="73"/>
        <v>29316.77</v>
      </c>
      <c r="CF344" s="27">
        <f t="shared" si="73"/>
        <v>29316.77</v>
      </c>
      <c r="CG344" s="27">
        <f t="shared" si="73"/>
        <v>29316.77</v>
      </c>
      <c r="CH344" s="27">
        <f t="shared" si="73"/>
        <v>29316.77</v>
      </c>
      <c r="CI344" s="43">
        <f t="shared" si="73"/>
        <v>29316.77</v>
      </c>
      <c r="CJ344" s="31">
        <f>SUM(CJ341:CJ343)</f>
        <v>352051.24</v>
      </c>
    </row>
    <row r="345" ht="12.75">
      <c r="C345" s="12"/>
    </row>
    <row r="346" spans="1:3" ht="21">
      <c r="A346" s="16">
        <f>+A340+1</f>
        <v>35</v>
      </c>
      <c r="B346" s="17"/>
      <c r="C346" s="5" t="s">
        <v>115</v>
      </c>
    </row>
    <row r="347" spans="3:88" ht="12.75">
      <c r="C347" s="4" t="str">
        <f>C341</f>
        <v>Debt Reserve</v>
      </c>
      <c r="BX347" s="26">
        <v>1362.5</v>
      </c>
      <c r="BY347" s="26">
        <v>1362.5</v>
      </c>
      <c r="BZ347" s="26">
        <v>1362.5</v>
      </c>
      <c r="CA347" s="26">
        <v>1362.5</v>
      </c>
      <c r="CB347" s="26">
        <v>1362.5</v>
      </c>
      <c r="CC347" s="26">
        <v>1346.25</v>
      </c>
      <c r="CD347" s="26">
        <v>1346.25</v>
      </c>
      <c r="CE347" s="26">
        <v>1346.25</v>
      </c>
      <c r="CF347" s="26">
        <v>1346.25</v>
      </c>
      <c r="CG347" s="26">
        <v>1346.25</v>
      </c>
      <c r="CH347" s="26">
        <v>1346.25</v>
      </c>
      <c r="CI347" s="42">
        <v>1346.25</v>
      </c>
      <c r="CJ347" s="26">
        <f>SUM(BX347:CI347)</f>
        <v>16236.25</v>
      </c>
    </row>
    <row r="348" spans="3:88" ht="12.75">
      <c r="C348" s="4" t="str">
        <f>C342</f>
        <v>Treasury Fee</v>
      </c>
      <c r="BX348" s="48">
        <v>250</v>
      </c>
      <c r="CJ348" s="26">
        <f>SUM(BX348:CI348)</f>
        <v>250</v>
      </c>
    </row>
    <row r="349" spans="3:88" ht="13.5" thickBot="1">
      <c r="C349" s="4" t="str">
        <f>C343</f>
        <v>Intercept</v>
      </c>
      <c r="BX349" s="26">
        <f>16250+102214.58</f>
        <v>118464.58</v>
      </c>
      <c r="BY349" s="26">
        <f>16250+102214.58</f>
        <v>118464.58</v>
      </c>
      <c r="BZ349" s="26">
        <f>16250+102214.58</f>
        <v>118464.58</v>
      </c>
      <c r="CA349" s="26">
        <f>16250+102214.58</f>
        <v>118464.58</v>
      </c>
      <c r="CB349" s="26">
        <f>16250+102214.58</f>
        <v>118464.58</v>
      </c>
      <c r="CC349" s="26">
        <f>17500+101198.96</f>
        <v>118698.96</v>
      </c>
      <c r="CD349" s="26">
        <f aca="true" t="shared" si="74" ref="CD349:CJ349">17500+101198.96</f>
        <v>118698.96</v>
      </c>
      <c r="CE349" s="26">
        <f t="shared" si="74"/>
        <v>118698.96</v>
      </c>
      <c r="CF349" s="26">
        <f t="shared" si="74"/>
        <v>118698.96</v>
      </c>
      <c r="CG349" s="26">
        <f t="shared" si="74"/>
        <v>118698.96</v>
      </c>
      <c r="CH349" s="26">
        <f t="shared" si="74"/>
        <v>118698.96</v>
      </c>
      <c r="CI349" s="42">
        <f t="shared" si="74"/>
        <v>118698.96</v>
      </c>
      <c r="CJ349" s="26">
        <f>SUM(BX349:CI349)</f>
        <v>1423215.6199999999</v>
      </c>
    </row>
    <row r="350" spans="3:88" ht="13.5" thickBot="1">
      <c r="C350" s="6" t="s">
        <v>116</v>
      </c>
      <c r="BX350" s="27">
        <f aca="true" t="shared" si="75" ref="BX350:CI350">SUM(BX347:BX349)</f>
        <v>120077.08</v>
      </c>
      <c r="BY350" s="27">
        <f t="shared" si="75"/>
        <v>119827.08</v>
      </c>
      <c r="BZ350" s="27">
        <f t="shared" si="75"/>
        <v>119827.08</v>
      </c>
      <c r="CA350" s="27">
        <f t="shared" si="75"/>
        <v>119827.08</v>
      </c>
      <c r="CB350" s="27">
        <f t="shared" si="75"/>
        <v>119827.08</v>
      </c>
      <c r="CC350" s="27">
        <f t="shared" si="75"/>
        <v>120045.21</v>
      </c>
      <c r="CD350" s="27">
        <f t="shared" si="75"/>
        <v>120045.21</v>
      </c>
      <c r="CE350" s="27">
        <f t="shared" si="75"/>
        <v>120045.21</v>
      </c>
      <c r="CF350" s="27">
        <f t="shared" si="75"/>
        <v>120045.21</v>
      </c>
      <c r="CG350" s="27">
        <f t="shared" si="75"/>
        <v>120045.21</v>
      </c>
      <c r="CH350" s="27">
        <f t="shared" si="75"/>
        <v>120045.21</v>
      </c>
      <c r="CI350" s="43">
        <f t="shared" si="75"/>
        <v>120045.21</v>
      </c>
      <c r="CJ350" s="31">
        <f>SUM(CJ347:CJ349)</f>
        <v>1439701.8699999999</v>
      </c>
    </row>
    <row r="351" ht="12.75">
      <c r="C351" s="12"/>
    </row>
    <row r="352" spans="1:3" ht="21">
      <c r="A352" s="16">
        <f>+A346+1</f>
        <v>36</v>
      </c>
      <c r="B352" s="17"/>
      <c r="C352" s="5" t="s">
        <v>117</v>
      </c>
    </row>
    <row r="353" spans="3:88" ht="12.75">
      <c r="C353" s="4" t="str">
        <f>C347</f>
        <v>Debt Reserve</v>
      </c>
      <c r="BX353" s="26">
        <v>0</v>
      </c>
      <c r="BY353" s="26">
        <v>0</v>
      </c>
      <c r="BZ353" s="26">
        <v>0</v>
      </c>
      <c r="CA353" s="26">
        <v>0</v>
      </c>
      <c r="CB353" s="26">
        <v>0</v>
      </c>
      <c r="CC353" s="26">
        <v>0</v>
      </c>
      <c r="CD353" s="26">
        <v>0</v>
      </c>
      <c r="CE353" s="26">
        <v>0</v>
      </c>
      <c r="CF353" s="26">
        <v>0</v>
      </c>
      <c r="CG353" s="26">
        <v>0</v>
      </c>
      <c r="CH353" s="26">
        <v>0</v>
      </c>
      <c r="CI353" s="42">
        <v>0</v>
      </c>
      <c r="CJ353" s="26">
        <f>SUM(BX353:CI353)</f>
        <v>0</v>
      </c>
    </row>
    <row r="354" spans="3:88" ht="12.75">
      <c r="C354" s="4" t="str">
        <f>C348</f>
        <v>Treasury Fee</v>
      </c>
      <c r="BX354" s="48">
        <v>250</v>
      </c>
      <c r="CJ354" s="26">
        <f>SUM(BX354:CI354)</f>
        <v>250</v>
      </c>
    </row>
    <row r="355" spans="3:88" ht="13.5" thickBot="1">
      <c r="C355" s="4" t="str">
        <f>C349</f>
        <v>Intercept</v>
      </c>
      <c r="BX355" s="26">
        <f>10416.67+72737.5</f>
        <v>83154.17</v>
      </c>
      <c r="BY355" s="26">
        <f>10416.67+72737.5</f>
        <v>83154.17</v>
      </c>
      <c r="BZ355" s="26">
        <f>10416.67+72737.5</f>
        <v>83154.17</v>
      </c>
      <c r="CA355" s="26">
        <f>10416.67+72737.5</f>
        <v>83154.17</v>
      </c>
      <c r="CB355" s="26">
        <f>11250+71878.13</f>
        <v>83128.13</v>
      </c>
      <c r="CC355" s="26">
        <f aca="true" t="shared" si="76" ref="CC355:CJ355">11250+71878.13</f>
        <v>83128.13</v>
      </c>
      <c r="CD355" s="26">
        <f t="shared" si="76"/>
        <v>83128.13</v>
      </c>
      <c r="CE355" s="26">
        <f t="shared" si="76"/>
        <v>83128.13</v>
      </c>
      <c r="CF355" s="26">
        <f t="shared" si="76"/>
        <v>83128.13</v>
      </c>
      <c r="CG355" s="26">
        <f t="shared" si="76"/>
        <v>83128.13</v>
      </c>
      <c r="CH355" s="26">
        <f t="shared" si="76"/>
        <v>83128.13</v>
      </c>
      <c r="CI355" s="42">
        <f t="shared" si="76"/>
        <v>83128.13</v>
      </c>
      <c r="CJ355" s="26">
        <f>SUM(BX355:CI355)</f>
        <v>997641.7200000001</v>
      </c>
    </row>
    <row r="356" spans="3:88" ht="13.5" thickBot="1">
      <c r="C356" s="6" t="s">
        <v>118</v>
      </c>
      <c r="BX356" s="27">
        <f aca="true" t="shared" si="77" ref="BX356:CI356">SUM(BX353:BX355)</f>
        <v>83404.17</v>
      </c>
      <c r="BY356" s="27">
        <f t="shared" si="77"/>
        <v>83154.17</v>
      </c>
      <c r="BZ356" s="27">
        <f t="shared" si="77"/>
        <v>83154.17</v>
      </c>
      <c r="CA356" s="27">
        <f t="shared" si="77"/>
        <v>83154.17</v>
      </c>
      <c r="CB356" s="27">
        <f t="shared" si="77"/>
        <v>83128.13</v>
      </c>
      <c r="CC356" s="27">
        <f t="shared" si="77"/>
        <v>83128.13</v>
      </c>
      <c r="CD356" s="27">
        <f t="shared" si="77"/>
        <v>83128.13</v>
      </c>
      <c r="CE356" s="27">
        <f t="shared" si="77"/>
        <v>83128.13</v>
      </c>
      <c r="CF356" s="27">
        <f t="shared" si="77"/>
        <v>83128.13</v>
      </c>
      <c r="CG356" s="27">
        <f t="shared" si="77"/>
        <v>83128.13</v>
      </c>
      <c r="CH356" s="27">
        <f t="shared" si="77"/>
        <v>83128.13</v>
      </c>
      <c r="CI356" s="43">
        <f t="shared" si="77"/>
        <v>83128.13</v>
      </c>
      <c r="CJ356" s="31">
        <f>SUM(CJ353:CJ355)</f>
        <v>997891.7200000001</v>
      </c>
    </row>
    <row r="357" ht="12.75">
      <c r="C357" s="12"/>
    </row>
    <row r="358" spans="1:3" ht="21">
      <c r="A358" s="16"/>
      <c r="B358" s="9" t="s">
        <v>105</v>
      </c>
      <c r="C358" s="32" t="s">
        <v>119</v>
      </c>
    </row>
    <row r="359" spans="3:88" ht="12.75">
      <c r="C359" s="4" t="str">
        <f>C353</f>
        <v>Debt Reserve</v>
      </c>
      <c r="BX359" s="26">
        <v>1139.58</v>
      </c>
      <c r="BY359" s="26">
        <v>1139.58</v>
      </c>
      <c r="BZ359" s="26"/>
      <c r="CA359" s="26"/>
      <c r="CB359" s="26"/>
      <c r="CC359" s="26"/>
      <c r="CD359" s="26"/>
      <c r="CE359" s="26"/>
      <c r="CF359" s="26"/>
      <c r="CG359" s="26"/>
      <c r="CH359" s="26"/>
      <c r="CI359" s="42"/>
      <c r="CJ359" s="26">
        <f>SUM(BX359:CI359)</f>
        <v>2279.16</v>
      </c>
    </row>
    <row r="360" spans="3:88" ht="12.75">
      <c r="C360" s="4" t="str">
        <f>C354</f>
        <v>Treasury Fee</v>
      </c>
      <c r="BX360" s="48">
        <v>250</v>
      </c>
      <c r="CJ360" s="26">
        <f>SUM(BX360:CI360)</f>
        <v>250</v>
      </c>
    </row>
    <row r="361" spans="3:88" ht="13.5" thickBot="1">
      <c r="C361" s="4" t="str">
        <f>C355</f>
        <v>Intercept</v>
      </c>
      <c r="BX361" s="26">
        <f>17500+77742.71</f>
        <v>95242.71</v>
      </c>
      <c r="BY361" s="26">
        <f>17500+77742.71</f>
        <v>95242.71</v>
      </c>
      <c r="BZ361" s="26"/>
      <c r="CA361" s="26"/>
      <c r="CB361" s="26"/>
      <c r="CC361" s="26"/>
      <c r="CD361" s="26"/>
      <c r="CE361" s="26"/>
      <c r="CF361" s="26"/>
      <c r="CG361" s="26"/>
      <c r="CH361" s="26"/>
      <c r="CI361" s="42"/>
      <c r="CJ361" s="26">
        <f>SUM(BX361:CI361)</f>
        <v>190485.42</v>
      </c>
    </row>
    <row r="362" spans="3:88" ht="13.5" thickBot="1">
      <c r="C362" s="6" t="s">
        <v>120</v>
      </c>
      <c r="BX362" s="27">
        <f aca="true" t="shared" si="78" ref="BX362:CI362">SUM(BX359:BX361)</f>
        <v>96632.29000000001</v>
      </c>
      <c r="BY362" s="27">
        <f t="shared" si="78"/>
        <v>96382.29000000001</v>
      </c>
      <c r="BZ362" s="27">
        <f t="shared" si="78"/>
        <v>0</v>
      </c>
      <c r="CA362" s="27">
        <f t="shared" si="78"/>
        <v>0</v>
      </c>
      <c r="CB362" s="27">
        <f t="shared" si="78"/>
        <v>0</v>
      </c>
      <c r="CC362" s="27">
        <f t="shared" si="78"/>
        <v>0</v>
      </c>
      <c r="CD362" s="27">
        <f t="shared" si="78"/>
        <v>0</v>
      </c>
      <c r="CE362" s="27">
        <f t="shared" si="78"/>
        <v>0</v>
      </c>
      <c r="CF362" s="27">
        <f t="shared" si="78"/>
        <v>0</v>
      </c>
      <c r="CG362" s="27">
        <f t="shared" si="78"/>
        <v>0</v>
      </c>
      <c r="CH362" s="27">
        <f t="shared" si="78"/>
        <v>0</v>
      </c>
      <c r="CI362" s="43">
        <f t="shared" si="78"/>
        <v>0</v>
      </c>
      <c r="CJ362" s="31">
        <f>SUM(CJ359:CJ361)</f>
        <v>193014.58000000002</v>
      </c>
    </row>
    <row r="363" ht="12.75">
      <c r="C363" s="12"/>
    </row>
    <row r="364" spans="1:3" ht="21">
      <c r="A364" s="16"/>
      <c r="B364" s="9" t="s">
        <v>105</v>
      </c>
      <c r="C364" s="32" t="s">
        <v>121</v>
      </c>
    </row>
    <row r="365" spans="1:88" ht="12.75">
      <c r="A365" s="20"/>
      <c r="B365" s="20"/>
      <c r="C365" s="4" t="str">
        <f>C359</f>
        <v>Debt Reserve</v>
      </c>
      <c r="BX365" s="26">
        <v>1013.33</v>
      </c>
      <c r="BY365" s="26">
        <v>1013.33</v>
      </c>
      <c r="BZ365" s="26">
        <v>1013.33</v>
      </c>
      <c r="CA365" s="26">
        <v>1013.33</v>
      </c>
      <c r="CB365" s="26">
        <v>1013.33</v>
      </c>
      <c r="CC365" s="26">
        <v>998.75</v>
      </c>
      <c r="CD365" s="26">
        <v>998.75</v>
      </c>
      <c r="CE365" s="26">
        <v>998.75</v>
      </c>
      <c r="CF365" s="26"/>
      <c r="CG365" s="26"/>
      <c r="CH365" s="26"/>
      <c r="CI365" s="42"/>
      <c r="CJ365" s="26">
        <f>SUM(BX365:CI365)</f>
        <v>8062.900000000001</v>
      </c>
    </row>
    <row r="366" spans="3:88" ht="12.75">
      <c r="C366" s="4" t="str">
        <f>C360</f>
        <v>Treasury Fee</v>
      </c>
      <c r="BX366" s="48">
        <v>250</v>
      </c>
      <c r="CJ366" s="26">
        <f>SUM(BX366:CI366)</f>
        <v>250</v>
      </c>
    </row>
    <row r="367" spans="3:88" ht="13.5" thickBot="1">
      <c r="C367" s="4" t="str">
        <f>C361</f>
        <v>Intercept</v>
      </c>
      <c r="BX367" s="26">
        <f>15833.33+81400.21</f>
        <v>97233.54000000001</v>
      </c>
      <c r="BY367" s="26">
        <f>15833.33+81400.21</f>
        <v>97233.54000000001</v>
      </c>
      <c r="BZ367" s="26">
        <f>15833.33+81400.21</f>
        <v>97233.54000000001</v>
      </c>
      <c r="CA367" s="26">
        <f>15833.33+81400.21</f>
        <v>97233.54000000001</v>
      </c>
      <c r="CB367" s="26">
        <f>15833.33+81400.21</f>
        <v>97233.54000000001</v>
      </c>
      <c r="CC367" s="26">
        <f>16666.67+80315.83</f>
        <v>96982.5</v>
      </c>
      <c r="CD367" s="26">
        <f>16666.67+80315.83</f>
        <v>96982.5</v>
      </c>
      <c r="CE367" s="26">
        <f>16666.67+80315.83</f>
        <v>96982.5</v>
      </c>
      <c r="CF367" s="26"/>
      <c r="CG367" s="26"/>
      <c r="CH367" s="26"/>
      <c r="CI367" s="42"/>
      <c r="CJ367" s="26">
        <f>SUM(BX367:CI367)</f>
        <v>777115.2000000001</v>
      </c>
    </row>
    <row r="368" spans="3:88" ht="13.5" thickBot="1">
      <c r="C368" s="6" t="s">
        <v>122</v>
      </c>
      <c r="BX368" s="27">
        <f aca="true" t="shared" si="79" ref="BX368:CI368">SUM(BX365:BX367)</f>
        <v>98496.87000000001</v>
      </c>
      <c r="BY368" s="27">
        <f t="shared" si="79"/>
        <v>98246.87000000001</v>
      </c>
      <c r="BZ368" s="27">
        <f t="shared" si="79"/>
        <v>98246.87000000001</v>
      </c>
      <c r="CA368" s="27">
        <f t="shared" si="79"/>
        <v>98246.87000000001</v>
      </c>
      <c r="CB368" s="27">
        <f t="shared" si="79"/>
        <v>98246.87000000001</v>
      </c>
      <c r="CC368" s="27">
        <f t="shared" si="79"/>
        <v>97981.25</v>
      </c>
      <c r="CD368" s="27">
        <f t="shared" si="79"/>
        <v>97981.25</v>
      </c>
      <c r="CE368" s="27">
        <f t="shared" si="79"/>
        <v>97981.25</v>
      </c>
      <c r="CF368" s="27">
        <f t="shared" si="79"/>
        <v>0</v>
      </c>
      <c r="CG368" s="27">
        <f t="shared" si="79"/>
        <v>0</v>
      </c>
      <c r="CH368" s="27">
        <f t="shared" si="79"/>
        <v>0</v>
      </c>
      <c r="CI368" s="43">
        <f t="shared" si="79"/>
        <v>0</v>
      </c>
      <c r="CJ368" s="31">
        <f>SUM(CJ365:CJ367)</f>
        <v>785428.1000000001</v>
      </c>
    </row>
    <row r="369" ht="12.75">
      <c r="C369" s="12"/>
    </row>
    <row r="370" spans="1:3" ht="21">
      <c r="A370" s="16"/>
      <c r="B370" s="9" t="s">
        <v>105</v>
      </c>
      <c r="C370" s="32" t="s">
        <v>123</v>
      </c>
    </row>
    <row r="371" spans="1:88" ht="12.75">
      <c r="A371" s="20"/>
      <c r="B371" s="20"/>
      <c r="C371" s="4" t="str">
        <f>C365</f>
        <v>Debt Reserve</v>
      </c>
      <c r="BX371" s="26">
        <v>0</v>
      </c>
      <c r="BY371" s="26">
        <v>0</v>
      </c>
      <c r="BZ371" s="26">
        <v>0</v>
      </c>
      <c r="CA371" s="26">
        <v>0</v>
      </c>
      <c r="CB371" s="26">
        <v>0</v>
      </c>
      <c r="CC371" s="26">
        <v>0</v>
      </c>
      <c r="CD371" s="26"/>
      <c r="CE371" s="26"/>
      <c r="CF371" s="26"/>
      <c r="CG371" s="26"/>
      <c r="CH371" s="26"/>
      <c r="CI371" s="42"/>
      <c r="CJ371" s="26">
        <f>SUM(BX371:CI371)</f>
        <v>0</v>
      </c>
    </row>
    <row r="372" spans="3:88" ht="12.75">
      <c r="C372" s="4" t="str">
        <f>C366</f>
        <v>Treasury Fee</v>
      </c>
      <c r="BX372" s="48">
        <v>250</v>
      </c>
      <c r="CJ372" s="26">
        <f>SUM(BX372:CI372)</f>
        <v>250</v>
      </c>
    </row>
    <row r="373" spans="3:88" ht="13.5" thickBot="1">
      <c r="C373" s="4" t="str">
        <f>C367</f>
        <v>Intercept</v>
      </c>
      <c r="BX373" s="26">
        <f>1666.67+9480.21</f>
        <v>11146.88</v>
      </c>
      <c r="BY373" s="26">
        <f>1666.67+9480.21</f>
        <v>11146.88</v>
      </c>
      <c r="BZ373" s="26">
        <f>1666.67+9480.21</f>
        <v>11146.88</v>
      </c>
      <c r="CA373" s="26">
        <v>9334.38</v>
      </c>
      <c r="CB373" s="26">
        <v>9334.38</v>
      </c>
      <c r="CC373" s="26">
        <v>9334.38</v>
      </c>
      <c r="CD373" s="26"/>
      <c r="CE373" s="26"/>
      <c r="CF373" s="26"/>
      <c r="CG373" s="26"/>
      <c r="CH373" s="26"/>
      <c r="CI373" s="42"/>
      <c r="CJ373" s="26">
        <f>SUM(BX373:CI373)</f>
        <v>61443.77999999999</v>
      </c>
    </row>
    <row r="374" spans="3:88" ht="13.5" thickBot="1">
      <c r="C374" s="6" t="s">
        <v>96</v>
      </c>
      <c r="BX374" s="27">
        <f aca="true" t="shared" si="80" ref="BX374:CI374">SUM(BX371:BX373)</f>
        <v>11396.88</v>
      </c>
      <c r="BY374" s="27">
        <f t="shared" si="80"/>
        <v>11146.88</v>
      </c>
      <c r="BZ374" s="27">
        <f t="shared" si="80"/>
        <v>11146.88</v>
      </c>
      <c r="CA374" s="27">
        <f t="shared" si="80"/>
        <v>9334.38</v>
      </c>
      <c r="CB374" s="27">
        <f t="shared" si="80"/>
        <v>9334.38</v>
      </c>
      <c r="CC374" s="27">
        <f t="shared" si="80"/>
        <v>9334.38</v>
      </c>
      <c r="CD374" s="27">
        <f t="shared" si="80"/>
        <v>0</v>
      </c>
      <c r="CE374" s="27">
        <f t="shared" si="80"/>
        <v>0</v>
      </c>
      <c r="CF374" s="27">
        <f t="shared" si="80"/>
        <v>0</v>
      </c>
      <c r="CG374" s="27">
        <f t="shared" si="80"/>
        <v>0</v>
      </c>
      <c r="CH374" s="27">
        <f t="shared" si="80"/>
        <v>0</v>
      </c>
      <c r="CI374" s="43">
        <f t="shared" si="80"/>
        <v>0</v>
      </c>
      <c r="CJ374" s="31">
        <f>SUM(CJ371:CJ373)</f>
        <v>61693.77999999999</v>
      </c>
    </row>
    <row r="375" ht="12.75">
      <c r="C375" s="12"/>
    </row>
    <row r="376" spans="1:3" ht="21">
      <c r="A376" s="16">
        <f>+A352+1</f>
        <v>37</v>
      </c>
      <c r="B376" s="17"/>
      <c r="C376" s="5" t="s">
        <v>126</v>
      </c>
    </row>
    <row r="377" spans="1:88" ht="12.75">
      <c r="A377" s="20"/>
      <c r="B377" s="20"/>
      <c r="C377" s="4" t="str">
        <f>C371</f>
        <v>Debt Reserve</v>
      </c>
      <c r="BX377" s="26">
        <v>615.42</v>
      </c>
      <c r="BY377" s="26">
        <v>615.42</v>
      </c>
      <c r="BZ377" s="26">
        <v>615.42</v>
      </c>
      <c r="CA377" s="26">
        <v>603.75</v>
      </c>
      <c r="CB377" s="26">
        <v>603.75</v>
      </c>
      <c r="CC377" s="26">
        <v>603.75</v>
      </c>
      <c r="CD377" s="26">
        <v>603.75</v>
      </c>
      <c r="CE377" s="26">
        <v>603.75</v>
      </c>
      <c r="CF377" s="26">
        <v>603.75</v>
      </c>
      <c r="CG377" s="26">
        <v>603.75</v>
      </c>
      <c r="CH377" s="26">
        <v>603.75</v>
      </c>
      <c r="CI377" s="42">
        <v>603.75</v>
      </c>
      <c r="CJ377" s="26">
        <f>SUM(BX377:CI377)</f>
        <v>7280.01</v>
      </c>
    </row>
    <row r="378" spans="3:88" ht="12.75">
      <c r="C378" s="4" t="str">
        <f>C372</f>
        <v>Treasury Fee</v>
      </c>
      <c r="BX378" s="48">
        <v>250</v>
      </c>
      <c r="CJ378" s="26">
        <f>SUM(BX378:CI378)</f>
        <v>250</v>
      </c>
    </row>
    <row r="379" spans="3:88" ht="13.5" thickBot="1">
      <c r="C379" s="4" t="str">
        <f>C373</f>
        <v>Intercept</v>
      </c>
      <c r="BX379" s="26">
        <f>12083.33+29050</f>
        <v>41133.33</v>
      </c>
      <c r="BY379" s="26">
        <f aca="true" t="shared" si="81" ref="BY379:CI379">12083.33+29050</f>
        <v>41133.33</v>
      </c>
      <c r="BZ379" s="26">
        <f t="shared" si="81"/>
        <v>41133.33</v>
      </c>
      <c r="CA379" s="26">
        <f t="shared" si="81"/>
        <v>41133.33</v>
      </c>
      <c r="CB379" s="26">
        <f t="shared" si="81"/>
        <v>41133.33</v>
      </c>
      <c r="CC379" s="26">
        <f t="shared" si="81"/>
        <v>41133.33</v>
      </c>
      <c r="CD379" s="26">
        <f t="shared" si="81"/>
        <v>41133.33</v>
      </c>
      <c r="CE379" s="26">
        <f t="shared" si="81"/>
        <v>41133.33</v>
      </c>
      <c r="CF379" s="26">
        <f t="shared" si="81"/>
        <v>41133.33</v>
      </c>
      <c r="CG379" s="26">
        <f t="shared" si="81"/>
        <v>41133.33</v>
      </c>
      <c r="CH379" s="26">
        <f t="shared" si="81"/>
        <v>41133.33</v>
      </c>
      <c r="CI379" s="42">
        <f t="shared" si="81"/>
        <v>41133.33</v>
      </c>
      <c r="CJ379" s="26">
        <f>SUM(BX379:CI379)</f>
        <v>493599.96000000014</v>
      </c>
    </row>
    <row r="380" spans="3:88" ht="13.5" thickBot="1">
      <c r="C380" s="6" t="s">
        <v>127</v>
      </c>
      <c r="BX380" s="27">
        <f aca="true" t="shared" si="82" ref="BX380:CI380">SUM(BX377:BX379)</f>
        <v>41998.75</v>
      </c>
      <c r="BY380" s="27">
        <f t="shared" si="82"/>
        <v>41748.75</v>
      </c>
      <c r="BZ380" s="27">
        <f t="shared" si="82"/>
        <v>41748.75</v>
      </c>
      <c r="CA380" s="27">
        <f t="shared" si="82"/>
        <v>41737.08</v>
      </c>
      <c r="CB380" s="27">
        <f t="shared" si="82"/>
        <v>41737.08</v>
      </c>
      <c r="CC380" s="27">
        <f t="shared" si="82"/>
        <v>41737.08</v>
      </c>
      <c r="CD380" s="27">
        <f t="shared" si="82"/>
        <v>41737.08</v>
      </c>
      <c r="CE380" s="27">
        <f t="shared" si="82"/>
        <v>41737.08</v>
      </c>
      <c r="CF380" s="27">
        <f t="shared" si="82"/>
        <v>41737.08</v>
      </c>
      <c r="CG380" s="27">
        <f t="shared" si="82"/>
        <v>41737.08</v>
      </c>
      <c r="CH380" s="27">
        <f t="shared" si="82"/>
        <v>41737.08</v>
      </c>
      <c r="CI380" s="43">
        <f t="shared" si="82"/>
        <v>41737.08</v>
      </c>
      <c r="CJ380" s="31">
        <f>SUM(CJ377:CJ379)</f>
        <v>501129.97000000015</v>
      </c>
    </row>
    <row r="381" ht="12.75">
      <c r="C381" s="12"/>
    </row>
    <row r="382" spans="1:3" ht="21">
      <c r="A382" s="16">
        <f>+A376+1</f>
        <v>38</v>
      </c>
      <c r="B382" s="35" t="s">
        <v>103</v>
      </c>
      <c r="C382" s="34" t="s">
        <v>128</v>
      </c>
    </row>
    <row r="383" spans="1:88" ht="12.75">
      <c r="A383" s="20"/>
      <c r="B383" s="20"/>
      <c r="C383" s="4" t="str">
        <f>C377</f>
        <v>Debt Reserve</v>
      </c>
      <c r="BX383" s="26">
        <v>1025.42</v>
      </c>
      <c r="BY383" s="26">
        <v>1025.42</v>
      </c>
      <c r="BZ383" s="26">
        <v>1025.42</v>
      </c>
      <c r="CA383" s="26">
        <v>1025.42</v>
      </c>
      <c r="CB383" s="26">
        <v>1025.42</v>
      </c>
      <c r="CC383" s="26">
        <v>1025.42</v>
      </c>
      <c r="CD383" s="26">
        <v>1006.25</v>
      </c>
      <c r="CE383" s="26">
        <v>1006.25</v>
      </c>
      <c r="CF383" s="26">
        <v>1006.25</v>
      </c>
      <c r="CG383" s="26">
        <v>1006.25</v>
      </c>
      <c r="CH383" s="26">
        <v>1006.25</v>
      </c>
      <c r="CI383" s="42">
        <v>1006.25</v>
      </c>
      <c r="CJ383" s="26">
        <f>SUM(BX383:CI383)</f>
        <v>12190.02</v>
      </c>
    </row>
    <row r="384" spans="3:88" ht="12.75">
      <c r="C384" s="4" t="str">
        <f>C378</f>
        <v>Treasury Fee</v>
      </c>
      <c r="BX384" s="48">
        <v>250</v>
      </c>
      <c r="CJ384" s="26">
        <f>SUM(BX384:CI384)</f>
        <v>250</v>
      </c>
    </row>
    <row r="385" spans="3:88" ht="13.5" thickBot="1">
      <c r="C385" s="4" t="str">
        <f>C379</f>
        <v>Intercept</v>
      </c>
      <c r="BX385" s="26">
        <f>19166.67+50950</f>
        <v>70116.67</v>
      </c>
      <c r="BY385" s="26">
        <f>19166.67+50950</f>
        <v>70116.67</v>
      </c>
      <c r="BZ385" s="26">
        <f>19166.67+50950</f>
        <v>70116.67</v>
      </c>
      <c r="CA385" s="26">
        <f>19166.67+50950</f>
        <v>70116.67</v>
      </c>
      <c r="CB385" s="26">
        <f>19166.67+50950</f>
        <v>70116.67</v>
      </c>
      <c r="CC385" s="26">
        <f>19583.33+50375</f>
        <v>69958.33</v>
      </c>
      <c r="CD385" s="26">
        <f aca="true" t="shared" si="83" ref="CD385:CJ385">19583.33+50375</f>
        <v>69958.33</v>
      </c>
      <c r="CE385" s="26">
        <f t="shared" si="83"/>
        <v>69958.33</v>
      </c>
      <c r="CF385" s="26">
        <f t="shared" si="83"/>
        <v>69958.33</v>
      </c>
      <c r="CG385" s="26">
        <f t="shared" si="83"/>
        <v>69958.33</v>
      </c>
      <c r="CH385" s="26">
        <f t="shared" si="83"/>
        <v>69958.33</v>
      </c>
      <c r="CI385" s="42">
        <f t="shared" si="83"/>
        <v>69958.33</v>
      </c>
      <c r="CJ385" s="26">
        <f>SUM(BX385:CI385)</f>
        <v>840291.6599999998</v>
      </c>
    </row>
    <row r="386" spans="3:88" ht="13.5" thickBot="1">
      <c r="C386" s="6" t="s">
        <v>129</v>
      </c>
      <c r="BX386" s="27">
        <f aca="true" t="shared" si="84" ref="BX386:CI386">SUM(BX383:BX385)</f>
        <v>71392.09</v>
      </c>
      <c r="BY386" s="27">
        <f t="shared" si="84"/>
        <v>71142.09</v>
      </c>
      <c r="BZ386" s="27">
        <f t="shared" si="84"/>
        <v>71142.09</v>
      </c>
      <c r="CA386" s="27">
        <f t="shared" si="84"/>
        <v>71142.09</v>
      </c>
      <c r="CB386" s="27">
        <f t="shared" si="84"/>
        <v>71142.09</v>
      </c>
      <c r="CC386" s="27">
        <f t="shared" si="84"/>
        <v>70983.75</v>
      </c>
      <c r="CD386" s="27">
        <f t="shared" si="84"/>
        <v>70964.58</v>
      </c>
      <c r="CE386" s="27">
        <f t="shared" si="84"/>
        <v>70964.58</v>
      </c>
      <c r="CF386" s="27">
        <f t="shared" si="84"/>
        <v>70964.58</v>
      </c>
      <c r="CG386" s="27">
        <f t="shared" si="84"/>
        <v>70964.58</v>
      </c>
      <c r="CH386" s="27">
        <f t="shared" si="84"/>
        <v>70964.58</v>
      </c>
      <c r="CI386" s="43">
        <f t="shared" si="84"/>
        <v>70964.58</v>
      </c>
      <c r="CJ386" s="31">
        <f>SUM(CJ383:CJ385)</f>
        <v>852731.6799999998</v>
      </c>
    </row>
    <row r="387" ht="12.75">
      <c r="C387" s="12"/>
    </row>
    <row r="388" spans="1:3" ht="21">
      <c r="A388" s="16">
        <f>+A382+1</f>
        <v>39</v>
      </c>
      <c r="B388" s="35" t="s">
        <v>103</v>
      </c>
      <c r="C388" s="34" t="s">
        <v>130</v>
      </c>
    </row>
    <row r="389" spans="1:88" ht="12.75">
      <c r="A389" s="20"/>
      <c r="B389" s="20"/>
      <c r="C389" s="4" t="str">
        <f>C383</f>
        <v>Debt Reserve</v>
      </c>
      <c r="BX389" s="26">
        <v>956.25</v>
      </c>
      <c r="BY389" s="26">
        <v>956.25</v>
      </c>
      <c r="BZ389" s="26">
        <v>956.25</v>
      </c>
      <c r="CA389" s="26">
        <v>956.25</v>
      </c>
      <c r="CB389" s="26">
        <v>956.25</v>
      </c>
      <c r="CC389" s="26">
        <v>956.25</v>
      </c>
      <c r="CD389" s="26">
        <v>956.25</v>
      </c>
      <c r="CE389" s="26">
        <v>956.25</v>
      </c>
      <c r="CF389" s="26">
        <v>938.75</v>
      </c>
      <c r="CG389" s="26">
        <v>938.75</v>
      </c>
      <c r="CH389" s="26">
        <v>938.75</v>
      </c>
      <c r="CI389" s="42">
        <v>938.75</v>
      </c>
      <c r="CJ389" s="26">
        <f>SUM(BX389:CI389)</f>
        <v>11405</v>
      </c>
    </row>
    <row r="390" spans="3:88" ht="12.75">
      <c r="C390" s="4" t="str">
        <f>C384</f>
        <v>Treasury Fee</v>
      </c>
      <c r="BX390" s="48">
        <v>250</v>
      </c>
      <c r="CJ390" s="26">
        <f>SUM(BX390:CI390)</f>
        <v>250</v>
      </c>
    </row>
    <row r="391" spans="3:88" ht="13.5" thickBot="1">
      <c r="C391" s="4" t="str">
        <f>C385</f>
        <v>Intercept</v>
      </c>
      <c r="BX391" s="26">
        <f aca="true" t="shared" si="85" ref="BX391:CE391">17500+49886.46</f>
        <v>67386.45999999999</v>
      </c>
      <c r="BY391" s="26">
        <f t="shared" si="85"/>
        <v>67386.45999999999</v>
      </c>
      <c r="BZ391" s="26">
        <f t="shared" si="85"/>
        <v>67386.45999999999</v>
      </c>
      <c r="CA391" s="26">
        <f t="shared" si="85"/>
        <v>67386.45999999999</v>
      </c>
      <c r="CB391" s="26">
        <f t="shared" si="85"/>
        <v>67386.45999999999</v>
      </c>
      <c r="CC391" s="26">
        <f t="shared" si="85"/>
        <v>67386.45999999999</v>
      </c>
      <c r="CD391" s="26">
        <f t="shared" si="85"/>
        <v>67386.45999999999</v>
      </c>
      <c r="CE391" s="26">
        <f t="shared" si="85"/>
        <v>67386.45999999999</v>
      </c>
      <c r="CF391" s="26">
        <f>18333.33+49273.96</f>
        <v>67607.29000000001</v>
      </c>
      <c r="CG391" s="26">
        <f>18333.33+49273.96</f>
        <v>67607.29000000001</v>
      </c>
      <c r="CH391" s="26">
        <f>18333.33+49273.96</f>
        <v>67607.29000000001</v>
      </c>
      <c r="CI391" s="42">
        <f>18333.33+49273.96</f>
        <v>67607.29000000001</v>
      </c>
      <c r="CJ391" s="26">
        <f>SUM(BX391:CI391)</f>
        <v>809520.84</v>
      </c>
    </row>
    <row r="392" spans="3:88" ht="13.5" thickBot="1">
      <c r="C392" s="6" t="s">
        <v>131</v>
      </c>
      <c r="BX392" s="27">
        <f aca="true" t="shared" si="86" ref="BX392:CI392">SUM(BX389:BX391)</f>
        <v>68592.70999999999</v>
      </c>
      <c r="BY392" s="27">
        <f t="shared" si="86"/>
        <v>68342.70999999999</v>
      </c>
      <c r="BZ392" s="27">
        <f t="shared" si="86"/>
        <v>68342.70999999999</v>
      </c>
      <c r="CA392" s="27">
        <f t="shared" si="86"/>
        <v>68342.70999999999</v>
      </c>
      <c r="CB392" s="27">
        <f t="shared" si="86"/>
        <v>68342.70999999999</v>
      </c>
      <c r="CC392" s="27">
        <f t="shared" si="86"/>
        <v>68342.70999999999</v>
      </c>
      <c r="CD392" s="27">
        <f t="shared" si="86"/>
        <v>68342.70999999999</v>
      </c>
      <c r="CE392" s="27">
        <f t="shared" si="86"/>
        <v>68342.70999999999</v>
      </c>
      <c r="CF392" s="27">
        <f t="shared" si="86"/>
        <v>68546.04000000001</v>
      </c>
      <c r="CG392" s="27">
        <f t="shared" si="86"/>
        <v>68546.04000000001</v>
      </c>
      <c r="CH392" s="27">
        <f t="shared" si="86"/>
        <v>68546.04000000001</v>
      </c>
      <c r="CI392" s="43">
        <f t="shared" si="86"/>
        <v>68546.04000000001</v>
      </c>
      <c r="CJ392" s="31">
        <f>SUM(CJ389:CJ391)</f>
        <v>821175.84</v>
      </c>
    </row>
    <row r="393" ht="12.75">
      <c r="C393" s="12"/>
    </row>
    <row r="394" spans="1:3" ht="21">
      <c r="A394" s="16">
        <f>+A388+1</f>
        <v>40</v>
      </c>
      <c r="B394" s="35" t="s">
        <v>103</v>
      </c>
      <c r="C394" s="34" t="s">
        <v>132</v>
      </c>
    </row>
    <row r="395" spans="1:88" ht="12.75">
      <c r="A395" s="20"/>
      <c r="B395" s="20"/>
      <c r="C395" s="4" t="str">
        <f>C389</f>
        <v>Debt Reserve</v>
      </c>
      <c r="BX395" s="26">
        <v>575.42</v>
      </c>
      <c r="BY395" s="26">
        <v>575.42</v>
      </c>
      <c r="BZ395" s="26">
        <v>575.42</v>
      </c>
      <c r="CA395" s="26">
        <v>575.42</v>
      </c>
      <c r="CB395" s="26">
        <v>575.42</v>
      </c>
      <c r="CC395" s="26">
        <v>575.42</v>
      </c>
      <c r="CD395" s="26">
        <v>575.42</v>
      </c>
      <c r="CE395" s="26">
        <v>575.42</v>
      </c>
      <c r="CF395" s="26">
        <v>575.42</v>
      </c>
      <c r="CG395" s="26">
        <v>575.42</v>
      </c>
      <c r="CH395" s="26">
        <v>575.42</v>
      </c>
      <c r="CI395" s="42">
        <v>564.58</v>
      </c>
      <c r="CJ395" s="26">
        <f>SUM(BX395:CI395)</f>
        <v>6894.2</v>
      </c>
    </row>
    <row r="396" spans="3:88" ht="12.75">
      <c r="C396" s="4" t="str">
        <f>C390</f>
        <v>Treasury Fee</v>
      </c>
      <c r="BX396" s="48">
        <v>250</v>
      </c>
      <c r="CJ396" s="26">
        <f>SUM(BX396:CI396)</f>
        <v>250</v>
      </c>
    </row>
    <row r="397" spans="3:88" ht="13.5" thickBot="1">
      <c r="C397" s="4" t="str">
        <f>C391</f>
        <v>Intercept</v>
      </c>
      <c r="BX397" s="26">
        <f>10833.33+31264.58</f>
        <v>42097.91</v>
      </c>
      <c r="BY397" s="26">
        <f aca="true" t="shared" si="87" ref="BY397:CI397">10833.33+31264.58</f>
        <v>42097.91</v>
      </c>
      <c r="BZ397" s="26">
        <f t="shared" si="87"/>
        <v>42097.91</v>
      </c>
      <c r="CA397" s="26">
        <f t="shared" si="87"/>
        <v>42097.91</v>
      </c>
      <c r="CB397" s="26">
        <f t="shared" si="87"/>
        <v>42097.91</v>
      </c>
      <c r="CC397" s="26">
        <f t="shared" si="87"/>
        <v>42097.91</v>
      </c>
      <c r="CD397" s="26">
        <f t="shared" si="87"/>
        <v>42097.91</v>
      </c>
      <c r="CE397" s="26">
        <f t="shared" si="87"/>
        <v>42097.91</v>
      </c>
      <c r="CF397" s="26">
        <f t="shared" si="87"/>
        <v>42097.91</v>
      </c>
      <c r="CG397" s="26">
        <f t="shared" si="87"/>
        <v>42097.91</v>
      </c>
      <c r="CH397" s="26">
        <f t="shared" si="87"/>
        <v>42097.91</v>
      </c>
      <c r="CI397" s="42">
        <f t="shared" si="87"/>
        <v>42097.91</v>
      </c>
      <c r="CJ397" s="26">
        <f>SUM(BX397:CI397)</f>
        <v>505174.92000000016</v>
      </c>
    </row>
    <row r="398" spans="3:88" ht="13.5" thickBot="1">
      <c r="C398" s="6" t="s">
        <v>133</v>
      </c>
      <c r="BX398" s="27">
        <f aca="true" t="shared" si="88" ref="BX398:CI398">SUM(BX395:BX397)</f>
        <v>42923.33</v>
      </c>
      <c r="BY398" s="27">
        <f t="shared" si="88"/>
        <v>42673.33</v>
      </c>
      <c r="BZ398" s="27">
        <f t="shared" si="88"/>
        <v>42673.33</v>
      </c>
      <c r="CA398" s="27">
        <f t="shared" si="88"/>
        <v>42673.33</v>
      </c>
      <c r="CB398" s="27">
        <f t="shared" si="88"/>
        <v>42673.33</v>
      </c>
      <c r="CC398" s="27">
        <f t="shared" si="88"/>
        <v>42673.33</v>
      </c>
      <c r="CD398" s="27">
        <f t="shared" si="88"/>
        <v>42673.33</v>
      </c>
      <c r="CE398" s="27">
        <f t="shared" si="88"/>
        <v>42673.33</v>
      </c>
      <c r="CF398" s="27">
        <f t="shared" si="88"/>
        <v>42673.33</v>
      </c>
      <c r="CG398" s="27">
        <f t="shared" si="88"/>
        <v>42673.33</v>
      </c>
      <c r="CH398" s="27">
        <f t="shared" si="88"/>
        <v>42673.33</v>
      </c>
      <c r="CI398" s="43">
        <f t="shared" si="88"/>
        <v>42662.490000000005</v>
      </c>
      <c r="CJ398" s="31">
        <f>SUM(CJ395:CJ397)</f>
        <v>512319.12000000017</v>
      </c>
    </row>
    <row r="399" ht="12.75">
      <c r="C399" s="12"/>
    </row>
    <row r="400" spans="1:3" ht="21">
      <c r="A400" s="16">
        <f>+A394+1</f>
        <v>41</v>
      </c>
      <c r="B400" s="21"/>
      <c r="C400" s="5" t="s">
        <v>135</v>
      </c>
    </row>
    <row r="401" spans="1:88" ht="12.75">
      <c r="A401" s="20"/>
      <c r="B401" s="20"/>
      <c r="C401" s="4" t="str">
        <f>C395</f>
        <v>Debt Reserve</v>
      </c>
      <c r="BX401" s="26">
        <v>516.25</v>
      </c>
      <c r="BY401" s="26">
        <v>516.25</v>
      </c>
      <c r="BZ401" s="26">
        <v>516.25</v>
      </c>
      <c r="CA401" s="26">
        <v>516.25</v>
      </c>
      <c r="CB401" s="26">
        <v>516.25</v>
      </c>
      <c r="CC401" s="26">
        <v>516.25</v>
      </c>
      <c r="CD401" s="26">
        <v>516.25</v>
      </c>
      <c r="CE401" s="26">
        <v>516.25</v>
      </c>
      <c r="CF401" s="26">
        <v>516.25</v>
      </c>
      <c r="CG401" s="26">
        <v>516.25</v>
      </c>
      <c r="CH401" s="26">
        <v>516.25</v>
      </c>
      <c r="CI401" s="42">
        <v>516.25</v>
      </c>
      <c r="CJ401" s="26">
        <f>SUM(BX401:CI401)</f>
        <v>6195</v>
      </c>
    </row>
    <row r="402" spans="3:88" ht="12.75">
      <c r="C402" s="4" t="str">
        <f>C396</f>
        <v>Treasury Fee</v>
      </c>
      <c r="BX402" s="48">
        <v>250</v>
      </c>
      <c r="CJ402" s="26">
        <f>SUM(BX402:CI402)</f>
        <v>250</v>
      </c>
    </row>
    <row r="403" spans="3:88" ht="13.5" thickBot="1">
      <c r="C403" s="4" t="str">
        <f>C397</f>
        <v>Intercept</v>
      </c>
      <c r="BX403" s="26">
        <f aca="true" t="shared" si="89" ref="BX403:CH403">9166.67+28842.19</f>
        <v>38008.86</v>
      </c>
      <c r="BY403" s="26">
        <f t="shared" si="89"/>
        <v>38008.86</v>
      </c>
      <c r="BZ403" s="26">
        <f t="shared" si="89"/>
        <v>38008.86</v>
      </c>
      <c r="CA403" s="26">
        <f t="shared" si="89"/>
        <v>38008.86</v>
      </c>
      <c r="CB403" s="26">
        <f t="shared" si="89"/>
        <v>38008.86</v>
      </c>
      <c r="CC403" s="26">
        <f t="shared" si="89"/>
        <v>38008.86</v>
      </c>
      <c r="CD403" s="26">
        <f t="shared" si="89"/>
        <v>38008.86</v>
      </c>
      <c r="CE403" s="26">
        <f t="shared" si="89"/>
        <v>38008.86</v>
      </c>
      <c r="CF403" s="26">
        <f t="shared" si="89"/>
        <v>38008.86</v>
      </c>
      <c r="CG403" s="26">
        <f t="shared" si="89"/>
        <v>38008.86</v>
      </c>
      <c r="CH403" s="26">
        <f t="shared" si="89"/>
        <v>38008.86</v>
      </c>
      <c r="CI403" s="42">
        <f>9583.33+28475.52</f>
        <v>38058.85</v>
      </c>
      <c r="CJ403" s="26">
        <f>SUM(BX403:CI403)</f>
        <v>456156.3099999999</v>
      </c>
    </row>
    <row r="404" spans="3:88" ht="13.5" thickBot="1">
      <c r="C404" s="6" t="s">
        <v>136</v>
      </c>
      <c r="BX404" s="27">
        <f aca="true" t="shared" si="90" ref="BX404:CI404">SUM(BX401:BX403)</f>
        <v>38775.11</v>
      </c>
      <c r="BY404" s="27">
        <f t="shared" si="90"/>
        <v>38525.11</v>
      </c>
      <c r="BZ404" s="27">
        <f t="shared" si="90"/>
        <v>38525.11</v>
      </c>
      <c r="CA404" s="27">
        <f t="shared" si="90"/>
        <v>38525.11</v>
      </c>
      <c r="CB404" s="27">
        <f t="shared" si="90"/>
        <v>38525.11</v>
      </c>
      <c r="CC404" s="27">
        <f t="shared" si="90"/>
        <v>38525.11</v>
      </c>
      <c r="CD404" s="27">
        <f t="shared" si="90"/>
        <v>38525.11</v>
      </c>
      <c r="CE404" s="27">
        <f t="shared" si="90"/>
        <v>38525.11</v>
      </c>
      <c r="CF404" s="27">
        <f t="shared" si="90"/>
        <v>38525.11</v>
      </c>
      <c r="CG404" s="27">
        <f t="shared" si="90"/>
        <v>38525.11</v>
      </c>
      <c r="CH404" s="27">
        <f t="shared" si="90"/>
        <v>38525.11</v>
      </c>
      <c r="CI404" s="43">
        <f t="shared" si="90"/>
        <v>38575.1</v>
      </c>
      <c r="CJ404" s="31">
        <f>SUM(CJ401:CJ403)</f>
        <v>462601.3099999999</v>
      </c>
    </row>
    <row r="405" ht="12.75">
      <c r="C405" s="12"/>
    </row>
    <row r="406" spans="1:3" ht="21">
      <c r="A406" s="16">
        <f>+A400+1</f>
        <v>42</v>
      </c>
      <c r="B406" s="21"/>
      <c r="C406" s="5" t="s">
        <v>139</v>
      </c>
    </row>
    <row r="407" spans="1:88" ht="12.75">
      <c r="A407" s="20"/>
      <c r="B407" s="20"/>
      <c r="C407" s="4" t="str">
        <f>C401</f>
        <v>Debt Reserve</v>
      </c>
      <c r="BX407" s="26">
        <v>202.92</v>
      </c>
      <c r="BY407" s="26">
        <v>202.92</v>
      </c>
      <c r="BZ407" s="26">
        <v>202.92</v>
      </c>
      <c r="CA407" s="26">
        <v>202.92</v>
      </c>
      <c r="CB407" s="26">
        <v>202.92</v>
      </c>
      <c r="CC407" s="26">
        <v>202.92</v>
      </c>
      <c r="CD407" s="26">
        <v>202.92</v>
      </c>
      <c r="CE407" s="26">
        <v>202.92</v>
      </c>
      <c r="CF407" s="26">
        <v>202.92</v>
      </c>
      <c r="CG407" s="26">
        <v>202.92</v>
      </c>
      <c r="CH407" s="26">
        <v>202.92</v>
      </c>
      <c r="CI407" s="42">
        <v>202.92</v>
      </c>
      <c r="CJ407" s="26">
        <f>SUM(BX407:CI407)</f>
        <v>2435.0400000000004</v>
      </c>
    </row>
    <row r="408" spans="3:88" ht="12.75">
      <c r="C408" s="4" t="str">
        <f>C402</f>
        <v>Treasury Fee</v>
      </c>
      <c r="BX408" s="48">
        <v>250</v>
      </c>
      <c r="CJ408" s="26">
        <f>SUM(BX408:CI408)</f>
        <v>250</v>
      </c>
    </row>
    <row r="409" spans="3:88" ht="13.5" thickBot="1">
      <c r="C409" s="4" t="str">
        <f>C403</f>
        <v>Intercept</v>
      </c>
      <c r="BX409" s="26">
        <v>11304.17</v>
      </c>
      <c r="BY409" s="26">
        <v>11304.17</v>
      </c>
      <c r="BZ409" s="26">
        <v>11304.17</v>
      </c>
      <c r="CA409" s="26">
        <v>11304.17</v>
      </c>
      <c r="CB409" s="26">
        <v>11304.17</v>
      </c>
      <c r="CC409" s="26">
        <v>11304.17</v>
      </c>
      <c r="CD409" s="26">
        <v>11304.17</v>
      </c>
      <c r="CE409" s="26">
        <v>11304.17</v>
      </c>
      <c r="CF409" s="26">
        <v>11304.17</v>
      </c>
      <c r="CG409" s="26">
        <v>11304.17</v>
      </c>
      <c r="CH409" s="26">
        <v>11304.17</v>
      </c>
      <c r="CI409" s="42">
        <v>11304.17</v>
      </c>
      <c r="CJ409" s="26">
        <f>SUM(BX409:CI409)</f>
        <v>135650.04</v>
      </c>
    </row>
    <row r="410" spans="3:88" ht="13.5" thickBot="1">
      <c r="C410" s="6" t="s">
        <v>138</v>
      </c>
      <c r="BX410" s="27">
        <f aca="true" t="shared" si="91" ref="BX410:CI410">SUM(BX407:BX409)</f>
        <v>11757.09</v>
      </c>
      <c r="BY410" s="27">
        <f t="shared" si="91"/>
        <v>11507.09</v>
      </c>
      <c r="BZ410" s="27">
        <f t="shared" si="91"/>
        <v>11507.09</v>
      </c>
      <c r="CA410" s="27">
        <f t="shared" si="91"/>
        <v>11507.09</v>
      </c>
      <c r="CB410" s="27">
        <f t="shared" si="91"/>
        <v>11507.09</v>
      </c>
      <c r="CC410" s="27">
        <f t="shared" si="91"/>
        <v>11507.09</v>
      </c>
      <c r="CD410" s="27">
        <f t="shared" si="91"/>
        <v>11507.09</v>
      </c>
      <c r="CE410" s="27">
        <f t="shared" si="91"/>
        <v>11507.09</v>
      </c>
      <c r="CF410" s="27">
        <f t="shared" si="91"/>
        <v>11507.09</v>
      </c>
      <c r="CG410" s="27">
        <f t="shared" si="91"/>
        <v>11507.09</v>
      </c>
      <c r="CH410" s="27">
        <f t="shared" si="91"/>
        <v>11507.09</v>
      </c>
      <c r="CI410" s="43">
        <f t="shared" si="91"/>
        <v>11507.09</v>
      </c>
      <c r="CJ410" s="31">
        <f>SUM(CJ407:CJ409)</f>
        <v>138335.08000000002</v>
      </c>
    </row>
    <row r="411" ht="12.75">
      <c r="C411" s="12"/>
    </row>
    <row r="412" spans="1:3" ht="21">
      <c r="A412" s="16">
        <f>+A406+1</f>
        <v>43</v>
      </c>
      <c r="B412" s="21"/>
      <c r="C412" s="5" t="s">
        <v>140</v>
      </c>
    </row>
    <row r="413" spans="1:88" ht="12.75">
      <c r="A413" s="20"/>
      <c r="B413" s="20"/>
      <c r="C413" s="4" t="str">
        <f>C407</f>
        <v>Debt Reserve</v>
      </c>
      <c r="BX413" s="26">
        <v>369.58</v>
      </c>
      <c r="BY413" s="26">
        <v>369.58</v>
      </c>
      <c r="BZ413" s="26">
        <v>369.58</v>
      </c>
      <c r="CA413" s="26">
        <v>369.58</v>
      </c>
      <c r="CB413" s="26">
        <v>369.58</v>
      </c>
      <c r="CC413" s="26">
        <v>369.58</v>
      </c>
      <c r="CD413" s="26">
        <v>369.58</v>
      </c>
      <c r="CE413" s="26">
        <v>369.58</v>
      </c>
      <c r="CF413" s="26">
        <v>369.58</v>
      </c>
      <c r="CG413" s="26">
        <v>369.58</v>
      </c>
      <c r="CH413" s="26">
        <v>369.58</v>
      </c>
      <c r="CI413" s="42">
        <v>369.58</v>
      </c>
      <c r="CJ413" s="26">
        <f>SUM(BX413:CI413)</f>
        <v>4434.96</v>
      </c>
    </row>
    <row r="414" spans="3:88" ht="12.75">
      <c r="C414" s="4" t="str">
        <f>C408</f>
        <v>Treasury Fee</v>
      </c>
      <c r="BX414" s="48">
        <v>250</v>
      </c>
      <c r="CJ414" s="26">
        <f>SUM(BX414:CI414)</f>
        <v>250</v>
      </c>
    </row>
    <row r="415" spans="3:88" ht="13.5" thickBot="1">
      <c r="C415" s="4" t="str">
        <f>C409</f>
        <v>Intercept</v>
      </c>
      <c r="BX415" s="48">
        <f>10000+54807.29</f>
        <v>64807.29</v>
      </c>
      <c r="BY415" s="48">
        <f>10000+54807.29</f>
        <v>64807.29</v>
      </c>
      <c r="BZ415" s="48">
        <f>10000+54807.29</f>
        <v>64807.29</v>
      </c>
      <c r="CA415" s="48">
        <f>10416.67+54194.79</f>
        <v>64611.46</v>
      </c>
      <c r="CB415" s="48">
        <f aca="true" t="shared" si="92" ref="CB415:CJ415">10416.67+54194.79</f>
        <v>64611.46</v>
      </c>
      <c r="CC415" s="48">
        <f t="shared" si="92"/>
        <v>64611.46</v>
      </c>
      <c r="CD415" s="48">
        <f t="shared" si="92"/>
        <v>64611.46</v>
      </c>
      <c r="CE415" s="48">
        <f t="shared" si="92"/>
        <v>64611.46</v>
      </c>
      <c r="CF415" s="48">
        <f t="shared" si="92"/>
        <v>64611.46</v>
      </c>
      <c r="CG415" s="48">
        <f t="shared" si="92"/>
        <v>64611.46</v>
      </c>
      <c r="CH415" s="48">
        <f t="shared" si="92"/>
        <v>64611.46</v>
      </c>
      <c r="CI415" s="50">
        <f t="shared" si="92"/>
        <v>64611.46</v>
      </c>
      <c r="CJ415" s="26">
        <f>SUM(BX415:CI415)</f>
        <v>775925.0099999999</v>
      </c>
    </row>
    <row r="416" spans="3:88" ht="13.5" thickBot="1">
      <c r="C416" s="6" t="s">
        <v>141</v>
      </c>
      <c r="BX416" s="27">
        <f aca="true" t="shared" si="93" ref="BX416:CI416">SUM(BX413:BX415)</f>
        <v>65426.87</v>
      </c>
      <c r="BY416" s="27">
        <f t="shared" si="93"/>
        <v>65176.87</v>
      </c>
      <c r="BZ416" s="27">
        <f t="shared" si="93"/>
        <v>65176.87</v>
      </c>
      <c r="CA416" s="27">
        <f t="shared" si="93"/>
        <v>64981.04</v>
      </c>
      <c r="CB416" s="27">
        <f t="shared" si="93"/>
        <v>64981.04</v>
      </c>
      <c r="CC416" s="27">
        <f t="shared" si="93"/>
        <v>64981.04</v>
      </c>
      <c r="CD416" s="27">
        <f t="shared" si="93"/>
        <v>64981.04</v>
      </c>
      <c r="CE416" s="27">
        <f t="shared" si="93"/>
        <v>64981.04</v>
      </c>
      <c r="CF416" s="27">
        <f t="shared" si="93"/>
        <v>64981.04</v>
      </c>
      <c r="CG416" s="27">
        <f t="shared" si="93"/>
        <v>64981.04</v>
      </c>
      <c r="CH416" s="27">
        <f t="shared" si="93"/>
        <v>64981.04</v>
      </c>
      <c r="CI416" s="43">
        <f t="shared" si="93"/>
        <v>64981.04</v>
      </c>
      <c r="CJ416" s="31">
        <f>SUM(CJ413:CJ415)</f>
        <v>780609.9699999999</v>
      </c>
    </row>
    <row r="417" ht="12.75">
      <c r="C417" s="12"/>
    </row>
    <row r="418" spans="1:3" ht="21">
      <c r="A418" s="16">
        <f>+A412+1</f>
        <v>44</v>
      </c>
      <c r="B418" s="35" t="s">
        <v>103</v>
      </c>
      <c r="C418" s="34" t="s">
        <v>142</v>
      </c>
    </row>
    <row r="419" spans="1:88" ht="12.75">
      <c r="A419" s="20"/>
      <c r="B419" s="20"/>
      <c r="C419" s="4" t="str">
        <f>C413</f>
        <v>Debt Reserve</v>
      </c>
      <c r="BX419" s="26">
        <v>0</v>
      </c>
      <c r="BY419" s="26">
        <v>0</v>
      </c>
      <c r="BZ419" s="26">
        <v>0</v>
      </c>
      <c r="CA419" s="26">
        <v>0</v>
      </c>
      <c r="CB419" s="26">
        <v>0</v>
      </c>
      <c r="CC419" s="26">
        <v>0</v>
      </c>
      <c r="CD419" s="26">
        <v>0</v>
      </c>
      <c r="CE419" s="26">
        <v>0</v>
      </c>
      <c r="CF419" s="26">
        <v>0</v>
      </c>
      <c r="CG419" s="26">
        <v>0</v>
      </c>
      <c r="CH419" s="26">
        <v>0</v>
      </c>
      <c r="CI419" s="42">
        <v>0</v>
      </c>
      <c r="CJ419" s="26">
        <f>SUM(BX419:CI419)</f>
        <v>0</v>
      </c>
    </row>
    <row r="420" spans="3:88" ht="12.75">
      <c r="C420" s="4" t="str">
        <f>C414</f>
        <v>Treasury Fee</v>
      </c>
      <c r="BX420" s="48">
        <v>250</v>
      </c>
      <c r="CJ420" s="26">
        <f>SUM(BX420:CI420)</f>
        <v>250</v>
      </c>
    </row>
    <row r="421" spans="3:88" ht="13.5" thickBot="1">
      <c r="C421" s="4" t="str">
        <f>C415</f>
        <v>Intercept</v>
      </c>
      <c r="BX421" s="26">
        <f aca="true" t="shared" si="94" ref="BX421:CD421">7916.67+57379.17</f>
        <v>65295.84</v>
      </c>
      <c r="BY421" s="26">
        <f t="shared" si="94"/>
        <v>65295.84</v>
      </c>
      <c r="BZ421" s="26">
        <f t="shared" si="94"/>
        <v>65295.84</v>
      </c>
      <c r="CA421" s="26">
        <f t="shared" si="94"/>
        <v>65295.84</v>
      </c>
      <c r="CB421" s="26">
        <f t="shared" si="94"/>
        <v>65295.84</v>
      </c>
      <c r="CC421" s="26">
        <f t="shared" si="94"/>
        <v>65295.84</v>
      </c>
      <c r="CD421" s="26">
        <f t="shared" si="94"/>
        <v>65295.84</v>
      </c>
      <c r="CE421" s="26">
        <f>7916.67+61400</f>
        <v>69316.67</v>
      </c>
      <c r="CF421" s="26">
        <f>7916.67+61400</f>
        <v>69316.67</v>
      </c>
      <c r="CG421" s="26">
        <f>7916.67+61400</f>
        <v>69316.67</v>
      </c>
      <c r="CH421" s="26">
        <f>7916.67+61400</f>
        <v>69316.67</v>
      </c>
      <c r="CI421" s="42">
        <f>8750+60826.04</f>
        <v>69576.04000000001</v>
      </c>
      <c r="CJ421" s="26">
        <f>SUM(BX421:CI421)</f>
        <v>803913.6000000001</v>
      </c>
    </row>
    <row r="422" spans="3:88" ht="13.5" thickBot="1">
      <c r="C422" s="6" t="s">
        <v>143</v>
      </c>
      <c r="BX422" s="27">
        <f aca="true" t="shared" si="95" ref="BX422:CI422">SUM(BX419:BX421)</f>
        <v>65545.84</v>
      </c>
      <c r="BY422" s="27">
        <f t="shared" si="95"/>
        <v>65295.84</v>
      </c>
      <c r="BZ422" s="27">
        <f t="shared" si="95"/>
        <v>65295.84</v>
      </c>
      <c r="CA422" s="27">
        <f t="shared" si="95"/>
        <v>65295.84</v>
      </c>
      <c r="CB422" s="27">
        <f t="shared" si="95"/>
        <v>65295.84</v>
      </c>
      <c r="CC422" s="27">
        <f t="shared" si="95"/>
        <v>65295.84</v>
      </c>
      <c r="CD422" s="27">
        <f t="shared" si="95"/>
        <v>65295.84</v>
      </c>
      <c r="CE422" s="27">
        <f t="shared" si="95"/>
        <v>69316.67</v>
      </c>
      <c r="CF422" s="27">
        <f t="shared" si="95"/>
        <v>69316.67</v>
      </c>
      <c r="CG422" s="27">
        <f t="shared" si="95"/>
        <v>69316.67</v>
      </c>
      <c r="CH422" s="27">
        <f t="shared" si="95"/>
        <v>69316.67</v>
      </c>
      <c r="CI422" s="43">
        <f t="shared" si="95"/>
        <v>69576.04000000001</v>
      </c>
      <c r="CJ422" s="31">
        <f>SUM(CJ419:CJ421)</f>
        <v>804163.6000000001</v>
      </c>
    </row>
    <row r="423" ht="12.75">
      <c r="C423" s="12"/>
    </row>
    <row r="424" spans="1:3" ht="21">
      <c r="A424" s="16">
        <f>+A418+1</f>
        <v>45</v>
      </c>
      <c r="B424" s="21"/>
      <c r="C424" s="5" t="s">
        <v>144</v>
      </c>
    </row>
    <row r="425" spans="1:88" ht="12.75">
      <c r="A425" s="20"/>
      <c r="B425" s="20"/>
      <c r="C425" s="4" t="str">
        <f>C419</f>
        <v>Debt Reserve</v>
      </c>
      <c r="BX425" s="26">
        <v>0</v>
      </c>
      <c r="BY425" s="26">
        <v>0</v>
      </c>
      <c r="BZ425" s="26">
        <v>0</v>
      </c>
      <c r="CA425" s="26">
        <v>0</v>
      </c>
      <c r="CB425" s="26">
        <v>0</v>
      </c>
      <c r="CC425" s="26">
        <v>0</v>
      </c>
      <c r="CD425" s="26">
        <v>0</v>
      </c>
      <c r="CE425" s="26">
        <v>0</v>
      </c>
      <c r="CF425" s="26">
        <v>0</v>
      </c>
      <c r="CG425" s="26">
        <v>0</v>
      </c>
      <c r="CH425" s="26">
        <v>0</v>
      </c>
      <c r="CI425" s="42">
        <v>0</v>
      </c>
      <c r="CJ425" s="26">
        <f>SUM(BX425:CI425)</f>
        <v>0</v>
      </c>
    </row>
    <row r="426" spans="3:88" ht="12.75">
      <c r="C426" s="4" t="str">
        <f>C420</f>
        <v>Treasury Fee</v>
      </c>
      <c r="BX426" s="48">
        <v>250</v>
      </c>
      <c r="CJ426" s="26">
        <f>SUM(BX426:CI426)</f>
        <v>250</v>
      </c>
    </row>
    <row r="427" spans="3:88" ht="13.5" thickBot="1">
      <c r="C427" s="4" t="str">
        <f>C421</f>
        <v>Intercept</v>
      </c>
      <c r="BX427" s="26">
        <f>8750+49040.11</f>
        <v>57790.11</v>
      </c>
      <c r="BY427" s="26">
        <f>8750+49040.11</f>
        <v>57790.11</v>
      </c>
      <c r="BZ427" s="26">
        <f>8750+49040.11</f>
        <v>57790.11</v>
      </c>
      <c r="CA427" s="26">
        <f>8750+49040.11</f>
        <v>57790.11</v>
      </c>
      <c r="CB427" s="26">
        <f>8750+49040.11</f>
        <v>57790.11</v>
      </c>
      <c r="CC427" s="26">
        <f>9166.67+48493.23</f>
        <v>57659.9</v>
      </c>
      <c r="CD427" s="26">
        <f aca="true" t="shared" si="96" ref="CD427:CJ427">9166.67+48493.23</f>
        <v>57659.9</v>
      </c>
      <c r="CE427" s="26">
        <f t="shared" si="96"/>
        <v>57659.9</v>
      </c>
      <c r="CF427" s="26">
        <f t="shared" si="96"/>
        <v>57659.9</v>
      </c>
      <c r="CG427" s="26">
        <f t="shared" si="96"/>
        <v>57659.9</v>
      </c>
      <c r="CH427" s="26">
        <f t="shared" si="96"/>
        <v>57659.9</v>
      </c>
      <c r="CI427" s="42">
        <f t="shared" si="96"/>
        <v>57659.9</v>
      </c>
      <c r="CJ427" s="26">
        <f>SUM(BX427:CI427)</f>
        <v>692569.8500000001</v>
      </c>
    </row>
    <row r="428" spans="3:88" ht="13.5" thickBot="1">
      <c r="C428" s="6" t="s">
        <v>145</v>
      </c>
      <c r="BX428" s="27">
        <f aca="true" t="shared" si="97" ref="BX428:CI428">SUM(BX425:BX427)</f>
        <v>58040.11</v>
      </c>
      <c r="BY428" s="27">
        <f t="shared" si="97"/>
        <v>57790.11</v>
      </c>
      <c r="BZ428" s="27">
        <f t="shared" si="97"/>
        <v>57790.11</v>
      </c>
      <c r="CA428" s="27">
        <f t="shared" si="97"/>
        <v>57790.11</v>
      </c>
      <c r="CB428" s="27">
        <f t="shared" si="97"/>
        <v>57790.11</v>
      </c>
      <c r="CC428" s="27">
        <f t="shared" si="97"/>
        <v>57659.9</v>
      </c>
      <c r="CD428" s="27">
        <f t="shared" si="97"/>
        <v>57659.9</v>
      </c>
      <c r="CE428" s="27">
        <f t="shared" si="97"/>
        <v>57659.9</v>
      </c>
      <c r="CF428" s="27">
        <f t="shared" si="97"/>
        <v>57659.9</v>
      </c>
      <c r="CG428" s="27">
        <f t="shared" si="97"/>
        <v>57659.9</v>
      </c>
      <c r="CH428" s="27">
        <f t="shared" si="97"/>
        <v>57659.9</v>
      </c>
      <c r="CI428" s="43">
        <f t="shared" si="97"/>
        <v>57659.9</v>
      </c>
      <c r="CJ428" s="31">
        <f>SUM(CJ425:CJ427)</f>
        <v>692819.8500000001</v>
      </c>
    </row>
    <row r="429" ht="12.75">
      <c r="C429" s="12"/>
    </row>
    <row r="430" spans="1:3" ht="21">
      <c r="A430" s="16">
        <f>+A424+1</f>
        <v>46</v>
      </c>
      <c r="B430" s="21"/>
      <c r="C430" s="5" t="s">
        <v>146</v>
      </c>
    </row>
    <row r="431" spans="1:88" ht="12.75">
      <c r="A431" s="20"/>
      <c r="B431" s="20"/>
      <c r="C431" s="4" t="str">
        <f>C425</f>
        <v>Debt Reserve</v>
      </c>
      <c r="BX431" s="26">
        <v>0</v>
      </c>
      <c r="BY431" s="26">
        <v>0</v>
      </c>
      <c r="BZ431" s="26">
        <v>0</v>
      </c>
      <c r="CA431" s="26">
        <v>0</v>
      </c>
      <c r="CB431" s="26">
        <v>0</v>
      </c>
      <c r="CC431" s="26">
        <v>0</v>
      </c>
      <c r="CD431" s="26">
        <v>0</v>
      </c>
      <c r="CE431" s="26">
        <v>0</v>
      </c>
      <c r="CF431" s="26">
        <v>0</v>
      </c>
      <c r="CG431" s="26">
        <v>0</v>
      </c>
      <c r="CH431" s="26">
        <v>0</v>
      </c>
      <c r="CI431" s="42">
        <v>0</v>
      </c>
      <c r="CJ431" s="26">
        <f>SUM(BX431:CI431)</f>
        <v>0</v>
      </c>
    </row>
    <row r="432" spans="3:88" ht="12.75">
      <c r="C432" s="4" t="str">
        <f>C426</f>
        <v>Treasury Fee</v>
      </c>
      <c r="BX432" s="48">
        <v>250</v>
      </c>
      <c r="CJ432" s="26">
        <f>SUM(BX432:CI432)</f>
        <v>250</v>
      </c>
    </row>
    <row r="433" spans="3:88" ht="13.5" thickBot="1">
      <c r="C433" s="4" t="str">
        <f>C427</f>
        <v>Intercept</v>
      </c>
      <c r="BX433" s="26">
        <f>7500+51341.67</f>
        <v>58841.67</v>
      </c>
      <c r="BY433" s="26">
        <f>7500+51341.67</f>
        <v>58841.67</v>
      </c>
      <c r="BZ433" s="26">
        <f>7500+51341.67</f>
        <v>58841.67</v>
      </c>
      <c r="CA433" s="26">
        <f>7500+51341.67</f>
        <v>58841.67</v>
      </c>
      <c r="CB433" s="26">
        <f>7500+51341.67</f>
        <v>58841.67</v>
      </c>
      <c r="CC433" s="26">
        <f>8333.33+50750</f>
        <v>59083.33</v>
      </c>
      <c r="CD433" s="26">
        <f aca="true" t="shared" si="98" ref="CD433:CJ433">8333.33+50750</f>
        <v>59083.33</v>
      </c>
      <c r="CE433" s="26">
        <f t="shared" si="98"/>
        <v>59083.33</v>
      </c>
      <c r="CF433" s="26">
        <f t="shared" si="98"/>
        <v>59083.33</v>
      </c>
      <c r="CG433" s="26">
        <f t="shared" si="98"/>
        <v>59083.33</v>
      </c>
      <c r="CH433" s="26">
        <f t="shared" si="98"/>
        <v>59083.33</v>
      </c>
      <c r="CI433" s="42">
        <f t="shared" si="98"/>
        <v>59083.33</v>
      </c>
      <c r="CJ433" s="26">
        <f>SUM(BX433:CI433)</f>
        <v>707791.6599999999</v>
      </c>
    </row>
    <row r="434" spans="3:88" ht="13.5" thickBot="1">
      <c r="C434" s="6" t="s">
        <v>147</v>
      </c>
      <c r="BX434" s="27">
        <f aca="true" t="shared" si="99" ref="BX434:CI434">SUM(BX431:BX433)</f>
        <v>59091.67</v>
      </c>
      <c r="BY434" s="27">
        <f t="shared" si="99"/>
        <v>58841.67</v>
      </c>
      <c r="BZ434" s="27">
        <f t="shared" si="99"/>
        <v>58841.67</v>
      </c>
      <c r="CA434" s="27">
        <f t="shared" si="99"/>
        <v>58841.67</v>
      </c>
      <c r="CB434" s="27">
        <f t="shared" si="99"/>
        <v>58841.67</v>
      </c>
      <c r="CC434" s="27">
        <f t="shared" si="99"/>
        <v>59083.33</v>
      </c>
      <c r="CD434" s="27">
        <f t="shared" si="99"/>
        <v>59083.33</v>
      </c>
      <c r="CE434" s="27">
        <f t="shared" si="99"/>
        <v>59083.33</v>
      </c>
      <c r="CF434" s="27">
        <f t="shared" si="99"/>
        <v>59083.33</v>
      </c>
      <c r="CG434" s="27">
        <f t="shared" si="99"/>
        <v>59083.33</v>
      </c>
      <c r="CH434" s="27">
        <f t="shared" si="99"/>
        <v>59083.33</v>
      </c>
      <c r="CI434" s="43">
        <f t="shared" si="99"/>
        <v>59083.33</v>
      </c>
      <c r="CJ434" s="31">
        <f>SUM(CJ431:CJ433)</f>
        <v>708041.6599999999</v>
      </c>
    </row>
    <row r="435" ht="12.75">
      <c r="C435" s="12"/>
    </row>
    <row r="436" spans="1:3" ht="21">
      <c r="A436" s="16">
        <f>+A430+1</f>
        <v>47</v>
      </c>
      <c r="B436" s="21"/>
      <c r="C436" s="5" t="s">
        <v>148</v>
      </c>
    </row>
    <row r="437" spans="1:88" ht="12.75">
      <c r="A437" s="20"/>
      <c r="B437" s="20"/>
      <c r="C437" s="4" t="str">
        <f>C431</f>
        <v>Debt Reserve</v>
      </c>
      <c r="BX437" s="26">
        <v>413.33</v>
      </c>
      <c r="BY437" s="26">
        <v>413.33</v>
      </c>
      <c r="BZ437" s="26">
        <v>413.33</v>
      </c>
      <c r="CA437" s="26">
        <v>413.33</v>
      </c>
      <c r="CB437" s="26">
        <v>407.5</v>
      </c>
      <c r="CC437" s="26">
        <v>407.5</v>
      </c>
      <c r="CD437" s="26">
        <v>407.5</v>
      </c>
      <c r="CE437" s="26">
        <v>407.5</v>
      </c>
      <c r="CF437" s="26">
        <v>407.5</v>
      </c>
      <c r="CG437" s="26">
        <v>407.5</v>
      </c>
      <c r="CH437" s="26">
        <v>407.5</v>
      </c>
      <c r="CI437" s="42">
        <v>407.5</v>
      </c>
      <c r="CJ437" s="26">
        <f>SUM(BX437:CI437)</f>
        <v>4913.32</v>
      </c>
    </row>
    <row r="438" spans="3:88" ht="12.75">
      <c r="C438" s="4" t="str">
        <f>C432</f>
        <v>Treasury Fee</v>
      </c>
      <c r="BX438" s="48">
        <v>250</v>
      </c>
      <c r="CJ438" s="26">
        <f>SUM(BX438:CI438)</f>
        <v>250</v>
      </c>
    </row>
    <row r="439" spans="3:88" ht="13.5" thickBot="1">
      <c r="C439" s="4" t="str">
        <f>C433</f>
        <v>Intercept</v>
      </c>
      <c r="BX439" s="26">
        <f>8333.33+28260</f>
        <v>36593.33</v>
      </c>
      <c r="BY439" s="26">
        <f>8333.33+28260</f>
        <v>36593.33</v>
      </c>
      <c r="BZ439" s="26">
        <f>8333.33+28260</f>
        <v>36593.33</v>
      </c>
      <c r="CA439" s="26">
        <f>8333.37+28260</f>
        <v>36593.37</v>
      </c>
      <c r="CB439" s="26">
        <f>9166.67+27683.75</f>
        <v>36850.42</v>
      </c>
      <c r="CC439" s="26">
        <f aca="true" t="shared" si="100" ref="CC439:CJ439">9166.67+27683.75</f>
        <v>36850.42</v>
      </c>
      <c r="CD439" s="26">
        <f t="shared" si="100"/>
        <v>36850.42</v>
      </c>
      <c r="CE439" s="26">
        <f t="shared" si="100"/>
        <v>36850.42</v>
      </c>
      <c r="CF439" s="26">
        <f t="shared" si="100"/>
        <v>36850.42</v>
      </c>
      <c r="CG439" s="26">
        <f t="shared" si="100"/>
        <v>36850.42</v>
      </c>
      <c r="CH439" s="26">
        <f t="shared" si="100"/>
        <v>36850.42</v>
      </c>
      <c r="CI439" s="42">
        <f t="shared" si="100"/>
        <v>36850.42</v>
      </c>
      <c r="CJ439" s="26">
        <f>SUM(BX439:CI439)</f>
        <v>441176.7199999999</v>
      </c>
    </row>
    <row r="440" spans="3:88" ht="13.5" thickBot="1">
      <c r="C440" s="6" t="s">
        <v>109</v>
      </c>
      <c r="BX440" s="27">
        <f aca="true" t="shared" si="101" ref="BX440:CI440">SUM(BX437:BX439)</f>
        <v>37256.66</v>
      </c>
      <c r="BY440" s="27">
        <f t="shared" si="101"/>
        <v>37006.66</v>
      </c>
      <c r="BZ440" s="27">
        <f t="shared" si="101"/>
        <v>37006.66</v>
      </c>
      <c r="CA440" s="27">
        <f t="shared" si="101"/>
        <v>37006.700000000004</v>
      </c>
      <c r="CB440" s="27">
        <f t="shared" si="101"/>
        <v>37257.92</v>
      </c>
      <c r="CC440" s="27">
        <f t="shared" si="101"/>
        <v>37257.92</v>
      </c>
      <c r="CD440" s="27">
        <f t="shared" si="101"/>
        <v>37257.92</v>
      </c>
      <c r="CE440" s="27">
        <f t="shared" si="101"/>
        <v>37257.92</v>
      </c>
      <c r="CF440" s="27">
        <f t="shared" si="101"/>
        <v>37257.92</v>
      </c>
      <c r="CG440" s="27">
        <f t="shared" si="101"/>
        <v>37257.92</v>
      </c>
      <c r="CH440" s="27">
        <f t="shared" si="101"/>
        <v>37257.92</v>
      </c>
      <c r="CI440" s="43">
        <f t="shared" si="101"/>
        <v>37257.92</v>
      </c>
      <c r="CJ440" s="31">
        <f>SUM(CJ437:CJ439)</f>
        <v>446340.0399999999</v>
      </c>
    </row>
    <row r="441" ht="12.75">
      <c r="C441" s="12"/>
    </row>
    <row r="442" spans="1:3" ht="21">
      <c r="A442" s="16">
        <f>+A436+1</f>
        <v>48</v>
      </c>
      <c r="B442" s="21"/>
      <c r="C442" s="5" t="s">
        <v>149</v>
      </c>
    </row>
    <row r="443" spans="1:88" ht="12.75">
      <c r="A443" s="20"/>
      <c r="B443" s="20"/>
      <c r="C443" s="4" t="str">
        <f>C437</f>
        <v>Debt Reserve</v>
      </c>
      <c r="BX443" s="26">
        <v>209.58</v>
      </c>
      <c r="BY443" s="26">
        <v>209.58</v>
      </c>
      <c r="BZ443" s="26">
        <v>209.58</v>
      </c>
      <c r="CA443" s="26">
        <v>209.58</v>
      </c>
      <c r="CB443" s="26">
        <v>209.58</v>
      </c>
      <c r="CC443" s="26">
        <v>209.58</v>
      </c>
      <c r="CD443" s="26">
        <v>209.58</v>
      </c>
      <c r="CE443" s="26">
        <v>209.58</v>
      </c>
      <c r="CF443" s="26">
        <v>209.58</v>
      </c>
      <c r="CG443" s="26">
        <v>209.58</v>
      </c>
      <c r="CH443" s="26">
        <v>209.58</v>
      </c>
      <c r="CI443" s="42">
        <v>209.58</v>
      </c>
      <c r="CJ443" s="26">
        <f>SUM(BX443:CI443)</f>
        <v>2514.9599999999996</v>
      </c>
    </row>
    <row r="444" spans="3:88" ht="12.75">
      <c r="C444" s="4" t="str">
        <f>C438</f>
        <v>Treasury Fee</v>
      </c>
      <c r="BX444" s="48">
        <v>250</v>
      </c>
      <c r="CJ444" s="26">
        <f>SUM(BX444:CI444)</f>
        <v>250</v>
      </c>
    </row>
    <row r="445" spans="3:88" ht="13.5" thickBot="1">
      <c r="C445" s="4" t="str">
        <f>C439</f>
        <v>Intercept</v>
      </c>
      <c r="BX445" s="26">
        <f aca="true" t="shared" si="102" ref="BX445:CE445">3750+26870.31</f>
        <v>30620.31</v>
      </c>
      <c r="BY445" s="26">
        <f t="shared" si="102"/>
        <v>30620.31</v>
      </c>
      <c r="BZ445" s="26">
        <f t="shared" si="102"/>
        <v>30620.31</v>
      </c>
      <c r="CA445" s="26">
        <f t="shared" si="102"/>
        <v>30620.31</v>
      </c>
      <c r="CB445" s="26">
        <f t="shared" si="102"/>
        <v>30620.31</v>
      </c>
      <c r="CC445" s="26">
        <f t="shared" si="102"/>
        <v>30620.31</v>
      </c>
      <c r="CD445" s="26">
        <f t="shared" si="102"/>
        <v>30620.31</v>
      </c>
      <c r="CE445" s="26">
        <f t="shared" si="102"/>
        <v>30620.31</v>
      </c>
      <c r="CF445" s="26">
        <f>4166.67+26589.06</f>
        <v>30755.730000000003</v>
      </c>
      <c r="CG445" s="26">
        <f>4166.67+26589.06</f>
        <v>30755.730000000003</v>
      </c>
      <c r="CH445" s="26">
        <f>4166.67+26589.06</f>
        <v>30755.730000000003</v>
      </c>
      <c r="CI445" s="42">
        <f>4166.67+26589.06</f>
        <v>30755.730000000003</v>
      </c>
      <c r="CJ445" s="26">
        <f>SUM(BX445:CI445)</f>
        <v>367985.39999999997</v>
      </c>
    </row>
    <row r="446" spans="3:88" ht="13.5" thickBot="1">
      <c r="C446" s="6" t="s">
        <v>120</v>
      </c>
      <c r="BX446" s="27">
        <f aca="true" t="shared" si="103" ref="BX446:CI446">SUM(BX443:BX445)</f>
        <v>31079.890000000003</v>
      </c>
      <c r="BY446" s="27">
        <f t="shared" si="103"/>
        <v>30829.890000000003</v>
      </c>
      <c r="BZ446" s="27">
        <f t="shared" si="103"/>
        <v>30829.890000000003</v>
      </c>
      <c r="CA446" s="27">
        <f t="shared" si="103"/>
        <v>30829.890000000003</v>
      </c>
      <c r="CB446" s="27">
        <f t="shared" si="103"/>
        <v>30829.890000000003</v>
      </c>
      <c r="CC446" s="27">
        <f t="shared" si="103"/>
        <v>30829.890000000003</v>
      </c>
      <c r="CD446" s="27">
        <f t="shared" si="103"/>
        <v>30829.890000000003</v>
      </c>
      <c r="CE446" s="27">
        <f t="shared" si="103"/>
        <v>30829.890000000003</v>
      </c>
      <c r="CF446" s="27">
        <f t="shared" si="103"/>
        <v>30965.310000000005</v>
      </c>
      <c r="CG446" s="27">
        <f t="shared" si="103"/>
        <v>30965.310000000005</v>
      </c>
      <c r="CH446" s="27">
        <f t="shared" si="103"/>
        <v>30965.310000000005</v>
      </c>
      <c r="CI446" s="43">
        <f t="shared" si="103"/>
        <v>30965.310000000005</v>
      </c>
      <c r="CJ446" s="31">
        <f>SUM(CJ443:CJ445)</f>
        <v>370750.36</v>
      </c>
    </row>
    <row r="447" ht="12.75">
      <c r="C447" s="12"/>
    </row>
    <row r="448" spans="1:3" ht="21">
      <c r="A448" s="16"/>
      <c r="B448" s="46" t="s">
        <v>105</v>
      </c>
      <c r="C448" s="32" t="s">
        <v>150</v>
      </c>
    </row>
    <row r="449" spans="1:88" ht="12.75">
      <c r="A449" s="20"/>
      <c r="B449" s="20"/>
      <c r="C449" s="4" t="str">
        <f>C443</f>
        <v>Debt Reserve</v>
      </c>
      <c r="CJ449"/>
    </row>
    <row r="450" spans="3:88" ht="12.75">
      <c r="C450" s="4" t="str">
        <f>C444</f>
        <v>Treasury Fee</v>
      </c>
      <c r="CJ450"/>
    </row>
    <row r="451" spans="3:88" ht="13.5" thickBot="1">
      <c r="C451" s="4" t="str">
        <f>C445</f>
        <v>Intercept</v>
      </c>
      <c r="CJ451"/>
    </row>
    <row r="452" spans="3:88" ht="13.5" thickBot="1">
      <c r="C452" s="6" t="s">
        <v>151</v>
      </c>
      <c r="CJ452"/>
    </row>
    <row r="453" spans="3:88" ht="12.75">
      <c r="C453" s="12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44"/>
      <c r="CJ453" s="28"/>
    </row>
    <row r="454" spans="1:3" ht="21">
      <c r="A454" s="16">
        <f>+A442+1</f>
        <v>49</v>
      </c>
      <c r="B454" s="21"/>
      <c r="C454" s="5" t="s">
        <v>152</v>
      </c>
    </row>
    <row r="455" spans="1:88" ht="12.75">
      <c r="A455" s="20"/>
      <c r="B455" s="20"/>
      <c r="C455" s="4" t="str">
        <f>C449</f>
        <v>Debt Reserve</v>
      </c>
      <c r="BX455" s="26">
        <v>0</v>
      </c>
      <c r="BY455" s="26">
        <v>0</v>
      </c>
      <c r="BZ455" s="26">
        <v>0</v>
      </c>
      <c r="CA455" s="26">
        <v>0</v>
      </c>
      <c r="CB455" s="26">
        <v>0</v>
      </c>
      <c r="CC455" s="26">
        <v>0</v>
      </c>
      <c r="CD455" s="26">
        <v>0</v>
      </c>
      <c r="CE455" s="26">
        <v>0</v>
      </c>
      <c r="CF455" s="26">
        <v>0</v>
      </c>
      <c r="CG455" s="26">
        <v>0</v>
      </c>
      <c r="CH455" s="26">
        <v>0</v>
      </c>
      <c r="CI455" s="42">
        <v>0</v>
      </c>
      <c r="CJ455" s="26">
        <f>SUM(BX455:CI455)</f>
        <v>0</v>
      </c>
    </row>
    <row r="456" spans="3:88" ht="12.75">
      <c r="C456" s="4" t="str">
        <f>C450</f>
        <v>Treasury Fee</v>
      </c>
      <c r="BX456" s="48">
        <v>250</v>
      </c>
      <c r="CJ456" s="26">
        <f>SUM(BX456:CI456)</f>
        <v>250</v>
      </c>
    </row>
    <row r="457" spans="3:88" ht="13.5" thickBot="1">
      <c r="C457" s="4" t="str">
        <f>C451</f>
        <v>Intercept</v>
      </c>
      <c r="BX457" s="26">
        <f aca="true" t="shared" si="104" ref="BX457:CD457">9166.67+33867.92</f>
        <v>43034.59</v>
      </c>
      <c r="BY457" s="26">
        <f t="shared" si="104"/>
        <v>43034.59</v>
      </c>
      <c r="BZ457" s="26">
        <f t="shared" si="104"/>
        <v>43034.59</v>
      </c>
      <c r="CA457" s="26">
        <f t="shared" si="104"/>
        <v>43034.59</v>
      </c>
      <c r="CB457" s="26">
        <f t="shared" si="104"/>
        <v>43034.59</v>
      </c>
      <c r="CC457" s="26">
        <f t="shared" si="104"/>
        <v>43034.59</v>
      </c>
      <c r="CD457" s="26">
        <f t="shared" si="104"/>
        <v>43034.59</v>
      </c>
      <c r="CE457" s="26">
        <f>9583.33+33311.46</f>
        <v>42894.79</v>
      </c>
      <c r="CF457" s="26">
        <f>9583.33+33311.46</f>
        <v>42894.79</v>
      </c>
      <c r="CG457" s="26">
        <f>9583.33+33311.46</f>
        <v>42894.79</v>
      </c>
      <c r="CH457" s="26">
        <f>9583.33+33311.46</f>
        <v>42894.79</v>
      </c>
      <c r="CI457" s="42">
        <f>9583.33+33311.46</f>
        <v>42894.79</v>
      </c>
      <c r="CJ457" s="26">
        <f>SUM(BX457:CI457)</f>
        <v>515716.0799999999</v>
      </c>
    </row>
    <row r="458" spans="3:88" ht="13.5" thickBot="1">
      <c r="C458" s="6" t="s">
        <v>151</v>
      </c>
      <c r="BX458" s="27">
        <f aca="true" t="shared" si="105" ref="BX458:CI458">SUM(BX455:BX457)</f>
        <v>43284.59</v>
      </c>
      <c r="BY458" s="27">
        <f t="shared" si="105"/>
        <v>43034.59</v>
      </c>
      <c r="BZ458" s="27">
        <f t="shared" si="105"/>
        <v>43034.59</v>
      </c>
      <c r="CA458" s="27">
        <f t="shared" si="105"/>
        <v>43034.59</v>
      </c>
      <c r="CB458" s="27">
        <f t="shared" si="105"/>
        <v>43034.59</v>
      </c>
      <c r="CC458" s="27">
        <f t="shared" si="105"/>
        <v>43034.59</v>
      </c>
      <c r="CD458" s="27">
        <f t="shared" si="105"/>
        <v>43034.59</v>
      </c>
      <c r="CE458" s="27">
        <f t="shared" si="105"/>
        <v>42894.79</v>
      </c>
      <c r="CF458" s="27">
        <f t="shared" si="105"/>
        <v>42894.79</v>
      </c>
      <c r="CG458" s="27">
        <f t="shared" si="105"/>
        <v>42894.79</v>
      </c>
      <c r="CH458" s="27">
        <f t="shared" si="105"/>
        <v>42894.79</v>
      </c>
      <c r="CI458" s="43">
        <f t="shared" si="105"/>
        <v>42894.79</v>
      </c>
      <c r="CJ458" s="31">
        <f>SUM(CJ455:CJ457)</f>
        <v>515966.0799999999</v>
      </c>
    </row>
    <row r="459" spans="3:88" ht="12.75">
      <c r="C459" s="12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44"/>
      <c r="CJ459" s="28"/>
    </row>
    <row r="460" spans="1:3" ht="21">
      <c r="A460" s="16">
        <f>+A454+1</f>
        <v>50</v>
      </c>
      <c r="B460" s="21"/>
      <c r="C460" s="5" t="s">
        <v>153</v>
      </c>
    </row>
    <row r="461" spans="1:88" ht="12.75">
      <c r="A461" s="20"/>
      <c r="B461" s="20"/>
      <c r="C461" s="4" t="str">
        <f>C455</f>
        <v>Debt Reserve</v>
      </c>
      <c r="BX461" s="26">
        <v>0</v>
      </c>
      <c r="BY461" s="26">
        <v>0</v>
      </c>
      <c r="BZ461" s="26">
        <v>0</v>
      </c>
      <c r="CA461" s="26">
        <v>0</v>
      </c>
      <c r="CB461" s="26">
        <v>0</v>
      </c>
      <c r="CC461" s="26">
        <v>0</v>
      </c>
      <c r="CD461" s="26">
        <v>0</v>
      </c>
      <c r="CE461" s="26">
        <v>0</v>
      </c>
      <c r="CF461" s="26">
        <v>0</v>
      </c>
      <c r="CG461" s="26">
        <v>0</v>
      </c>
      <c r="CH461" s="26">
        <v>0</v>
      </c>
      <c r="CI461" s="42">
        <v>0</v>
      </c>
      <c r="CJ461" s="26">
        <f>SUM(BX461:CI461)</f>
        <v>0</v>
      </c>
    </row>
    <row r="462" spans="3:88" ht="12.75">
      <c r="C462" s="4" t="str">
        <f>C456</f>
        <v>Treasury Fee</v>
      </c>
      <c r="BX462" s="48">
        <v>250</v>
      </c>
      <c r="CJ462" s="26">
        <f>SUM(BX462:CI462)</f>
        <v>250</v>
      </c>
    </row>
    <row r="463" spans="3:88" ht="13.5" thickBot="1">
      <c r="C463" s="4" t="str">
        <f>C457</f>
        <v>Intercept</v>
      </c>
      <c r="BX463" s="26">
        <f>11250+11710.42</f>
        <v>22960.42</v>
      </c>
      <c r="BY463" s="26">
        <f aca="true" t="shared" si="106" ref="BY463:CE463">11250+11710.42</f>
        <v>22960.42</v>
      </c>
      <c r="BZ463" s="26">
        <f t="shared" si="106"/>
        <v>22960.42</v>
      </c>
      <c r="CA463" s="26">
        <f t="shared" si="106"/>
        <v>22960.42</v>
      </c>
      <c r="CB463" s="26">
        <f t="shared" si="106"/>
        <v>22960.42</v>
      </c>
      <c r="CC463" s="26">
        <f t="shared" si="106"/>
        <v>22960.42</v>
      </c>
      <c r="CD463" s="26">
        <f t="shared" si="106"/>
        <v>22960.42</v>
      </c>
      <c r="CE463" s="26">
        <f t="shared" si="106"/>
        <v>22960.42</v>
      </c>
      <c r="CF463" s="26">
        <f>11250+11457.29</f>
        <v>22707.29</v>
      </c>
      <c r="CG463" s="26">
        <f>11250+11457.29</f>
        <v>22707.29</v>
      </c>
      <c r="CH463" s="26">
        <f>11250+11457.29</f>
        <v>22707.29</v>
      </c>
      <c r="CI463" s="42">
        <f>11250+11457.29</f>
        <v>22707.29</v>
      </c>
      <c r="CJ463" s="26">
        <f>SUM(BX463:CI463)</f>
        <v>274512.52</v>
      </c>
    </row>
    <row r="464" spans="3:88" ht="13.5" thickBot="1">
      <c r="C464" s="6" t="s">
        <v>154</v>
      </c>
      <c r="BX464" s="27">
        <f aca="true" t="shared" si="107" ref="BX464:CI464">SUM(BX461:BX463)</f>
        <v>23210.42</v>
      </c>
      <c r="BY464" s="27">
        <f t="shared" si="107"/>
        <v>22960.42</v>
      </c>
      <c r="BZ464" s="27">
        <f t="shared" si="107"/>
        <v>22960.42</v>
      </c>
      <c r="CA464" s="27">
        <f t="shared" si="107"/>
        <v>22960.42</v>
      </c>
      <c r="CB464" s="27">
        <f t="shared" si="107"/>
        <v>22960.42</v>
      </c>
      <c r="CC464" s="27">
        <f t="shared" si="107"/>
        <v>22960.42</v>
      </c>
      <c r="CD464" s="27">
        <f t="shared" si="107"/>
        <v>22960.42</v>
      </c>
      <c r="CE464" s="27">
        <f t="shared" si="107"/>
        <v>22960.42</v>
      </c>
      <c r="CF464" s="27">
        <f t="shared" si="107"/>
        <v>22707.29</v>
      </c>
      <c r="CG464" s="27">
        <f t="shared" si="107"/>
        <v>22707.29</v>
      </c>
      <c r="CH464" s="27">
        <f t="shared" si="107"/>
        <v>22707.29</v>
      </c>
      <c r="CI464" s="43">
        <f t="shared" si="107"/>
        <v>22707.29</v>
      </c>
      <c r="CJ464" s="31">
        <f>SUM(CJ461:CJ463)</f>
        <v>274762.52</v>
      </c>
    </row>
    <row r="465" spans="3:88" ht="12.75">
      <c r="C465" s="12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44"/>
      <c r="CJ465" s="28"/>
    </row>
    <row r="466" spans="1:3" ht="21">
      <c r="A466" s="16"/>
      <c r="B466" s="46" t="s">
        <v>105</v>
      </c>
      <c r="C466" s="32" t="s">
        <v>155</v>
      </c>
    </row>
    <row r="467" spans="1:88" ht="12.75">
      <c r="A467" s="20"/>
      <c r="B467" s="20"/>
      <c r="C467" s="4" t="str">
        <f>C461</f>
        <v>Debt Reserve</v>
      </c>
      <c r="BX467" s="26">
        <v>0</v>
      </c>
      <c r="BY467" s="26">
        <v>0</v>
      </c>
      <c r="BZ467" s="26">
        <v>0</v>
      </c>
      <c r="CA467" s="26">
        <v>0</v>
      </c>
      <c r="CB467" s="26">
        <v>0</v>
      </c>
      <c r="CC467" s="26"/>
      <c r="CD467" s="26"/>
      <c r="CE467" s="26"/>
      <c r="CF467" s="26"/>
      <c r="CG467" s="26"/>
      <c r="CH467" s="26"/>
      <c r="CI467" s="42"/>
      <c r="CJ467" s="26">
        <f>SUM(BX467:CI467)</f>
        <v>0</v>
      </c>
    </row>
    <row r="468" spans="3:88" ht="12.75">
      <c r="C468" s="4" t="str">
        <f>C462</f>
        <v>Treasury Fee</v>
      </c>
      <c r="BX468" s="48">
        <v>250</v>
      </c>
      <c r="CJ468" s="26">
        <f>SUM(BX468:CI468)</f>
        <v>250</v>
      </c>
    </row>
    <row r="469" spans="3:88" ht="13.5" thickBot="1">
      <c r="C469" s="4" t="str">
        <f>C463</f>
        <v>Intercept</v>
      </c>
      <c r="BX469" s="26">
        <f>20000+73308.75</f>
        <v>93308.75</v>
      </c>
      <c r="BY469" s="26">
        <f>20000+73308.75</f>
        <v>93308.75</v>
      </c>
      <c r="BZ469" s="26">
        <f>20000+73308.75</f>
        <v>93308.75</v>
      </c>
      <c r="CA469" s="26">
        <f>20000+73308.75</f>
        <v>93308.75</v>
      </c>
      <c r="CB469" s="26">
        <f>20000+73308.75</f>
        <v>93308.75</v>
      </c>
      <c r="CC469" s="26"/>
      <c r="CD469" s="26"/>
      <c r="CE469" s="26"/>
      <c r="CF469" s="26"/>
      <c r="CG469" s="26"/>
      <c r="CH469" s="26"/>
      <c r="CI469" s="42"/>
      <c r="CJ469" s="26">
        <f>SUM(BX469:CI469)</f>
        <v>466543.75</v>
      </c>
    </row>
    <row r="470" spans="3:88" ht="13.5" thickBot="1">
      <c r="C470" s="6" t="s">
        <v>156</v>
      </c>
      <c r="BX470" s="27">
        <f aca="true" t="shared" si="108" ref="BX470:CI470">SUM(BX467:BX469)</f>
        <v>93558.75</v>
      </c>
      <c r="BY470" s="27">
        <f t="shared" si="108"/>
        <v>93308.75</v>
      </c>
      <c r="BZ470" s="27">
        <f t="shared" si="108"/>
        <v>93308.75</v>
      </c>
      <c r="CA470" s="27">
        <f t="shared" si="108"/>
        <v>93308.75</v>
      </c>
      <c r="CB470" s="27">
        <f t="shared" si="108"/>
        <v>93308.75</v>
      </c>
      <c r="CC470" s="27">
        <f t="shared" si="108"/>
        <v>0</v>
      </c>
      <c r="CD470" s="27">
        <f t="shared" si="108"/>
        <v>0</v>
      </c>
      <c r="CE470" s="27">
        <f t="shared" si="108"/>
        <v>0</v>
      </c>
      <c r="CF470" s="27">
        <f t="shared" si="108"/>
        <v>0</v>
      </c>
      <c r="CG470" s="27">
        <f t="shared" si="108"/>
        <v>0</v>
      </c>
      <c r="CH470" s="27">
        <f t="shared" si="108"/>
        <v>0</v>
      </c>
      <c r="CI470" s="43">
        <f t="shared" si="108"/>
        <v>0</v>
      </c>
      <c r="CJ470" s="31">
        <f>SUM(CJ467:CJ469)</f>
        <v>466793.75</v>
      </c>
    </row>
    <row r="471" spans="3:88" ht="12.75">
      <c r="C471" s="12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44"/>
      <c r="CJ471" s="28"/>
    </row>
    <row r="472" spans="1:3" ht="21">
      <c r="A472" s="16"/>
      <c r="B472" s="46" t="s">
        <v>105</v>
      </c>
      <c r="C472" s="32" t="s">
        <v>180</v>
      </c>
    </row>
    <row r="473" spans="1:88" ht="12.75">
      <c r="A473" s="20"/>
      <c r="B473" s="20"/>
      <c r="C473" s="4" t="str">
        <f>C467</f>
        <v>Debt Reserve</v>
      </c>
      <c r="BX473" s="26">
        <v>0</v>
      </c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42"/>
      <c r="CJ473" s="26">
        <f>SUM(BX473:CI473)</f>
        <v>0</v>
      </c>
    </row>
    <row r="474" spans="3:88" ht="12.75">
      <c r="C474" s="4" t="str">
        <f>C468</f>
        <v>Treasury Fee</v>
      </c>
      <c r="BX474" s="48">
        <v>250</v>
      </c>
      <c r="CJ474" s="26">
        <f>SUM(BX474:CI474)</f>
        <v>250</v>
      </c>
    </row>
    <row r="475" spans="3:88" ht="13.5" thickBot="1">
      <c r="C475" s="4" t="str">
        <f>C469</f>
        <v>Intercept</v>
      </c>
      <c r="BX475" s="26">
        <v>0</v>
      </c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42"/>
      <c r="CJ475" s="26">
        <f>SUM(BX475:CI475)</f>
        <v>0</v>
      </c>
    </row>
    <row r="476" spans="3:88" ht="13.5" thickBot="1">
      <c r="C476" s="6" t="s">
        <v>159</v>
      </c>
      <c r="BX476" s="27">
        <f aca="true" t="shared" si="109" ref="BX476:CI476">SUM(BX473:BX475)</f>
        <v>250</v>
      </c>
      <c r="BY476" s="27">
        <f t="shared" si="109"/>
        <v>0</v>
      </c>
      <c r="BZ476" s="27">
        <f t="shared" si="109"/>
        <v>0</v>
      </c>
      <c r="CA476" s="27">
        <f t="shared" si="109"/>
        <v>0</v>
      </c>
      <c r="CB476" s="27">
        <f t="shared" si="109"/>
        <v>0</v>
      </c>
      <c r="CC476" s="27">
        <f t="shared" si="109"/>
        <v>0</v>
      </c>
      <c r="CD476" s="27">
        <f t="shared" si="109"/>
        <v>0</v>
      </c>
      <c r="CE476" s="27">
        <f t="shared" si="109"/>
        <v>0</v>
      </c>
      <c r="CF476" s="27">
        <f t="shared" si="109"/>
        <v>0</v>
      </c>
      <c r="CG476" s="27">
        <f t="shared" si="109"/>
        <v>0</v>
      </c>
      <c r="CH476" s="27">
        <f t="shared" si="109"/>
        <v>0</v>
      </c>
      <c r="CI476" s="43">
        <f t="shared" si="109"/>
        <v>0</v>
      </c>
      <c r="CJ476" s="31">
        <f>SUM(CJ473:CJ475)</f>
        <v>250</v>
      </c>
    </row>
    <row r="477" spans="3:88" ht="12.75">
      <c r="C477" s="12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44"/>
      <c r="CJ477" s="28"/>
    </row>
    <row r="478" spans="1:3" ht="21">
      <c r="A478" s="16"/>
      <c r="B478" s="46" t="s">
        <v>105</v>
      </c>
      <c r="C478" s="32" t="s">
        <v>160</v>
      </c>
    </row>
    <row r="479" spans="1:88" ht="12.75">
      <c r="A479" s="20"/>
      <c r="B479" s="20"/>
      <c r="C479" s="4" t="str">
        <f>C473</f>
        <v>Debt Reserve</v>
      </c>
      <c r="BX479" s="26">
        <v>0</v>
      </c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42"/>
      <c r="CJ479" s="26">
        <f>SUM(BX479:CI479)</f>
        <v>0</v>
      </c>
    </row>
    <row r="480" spans="3:88" ht="12.75">
      <c r="C480" s="4" t="str">
        <f>C474</f>
        <v>Treasury Fee</v>
      </c>
      <c r="BX480" s="48">
        <v>250</v>
      </c>
      <c r="CJ480" s="26">
        <f>SUM(BX480:CI480)</f>
        <v>250</v>
      </c>
    </row>
    <row r="481" spans="3:88" ht="13.5" thickBot="1">
      <c r="C481" s="4" t="str">
        <f>C475</f>
        <v>Intercept</v>
      </c>
      <c r="BX481" s="26">
        <f>32916.67+119700</f>
        <v>152616.66999999998</v>
      </c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42"/>
      <c r="CJ481" s="26">
        <f>SUM(BX481:CI481)</f>
        <v>152616.66999999998</v>
      </c>
    </row>
    <row r="482" spans="3:88" ht="13.5" thickBot="1">
      <c r="C482" s="6" t="s">
        <v>161</v>
      </c>
      <c r="BX482" s="27">
        <f aca="true" t="shared" si="110" ref="BX482:CI482">SUM(BX479:BX481)</f>
        <v>152866.66999999998</v>
      </c>
      <c r="BY482" s="27">
        <f t="shared" si="110"/>
        <v>0</v>
      </c>
      <c r="BZ482" s="27">
        <f t="shared" si="110"/>
        <v>0</v>
      </c>
      <c r="CA482" s="27">
        <f t="shared" si="110"/>
        <v>0</v>
      </c>
      <c r="CB482" s="27">
        <f t="shared" si="110"/>
        <v>0</v>
      </c>
      <c r="CC482" s="27">
        <f t="shared" si="110"/>
        <v>0</v>
      </c>
      <c r="CD482" s="27">
        <f t="shared" si="110"/>
        <v>0</v>
      </c>
      <c r="CE482" s="27">
        <f t="shared" si="110"/>
        <v>0</v>
      </c>
      <c r="CF482" s="27">
        <f t="shared" si="110"/>
        <v>0</v>
      </c>
      <c r="CG482" s="27">
        <f t="shared" si="110"/>
        <v>0</v>
      </c>
      <c r="CH482" s="27">
        <f t="shared" si="110"/>
        <v>0</v>
      </c>
      <c r="CI482" s="43">
        <f t="shared" si="110"/>
        <v>0</v>
      </c>
      <c r="CJ482" s="31">
        <f>SUM(CJ479:CJ481)</f>
        <v>152866.66999999998</v>
      </c>
    </row>
    <row r="483" spans="3:88" ht="12.75">
      <c r="C483" s="12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44"/>
      <c r="CJ483" s="28"/>
    </row>
    <row r="484" spans="1:3" ht="21">
      <c r="A484" s="16">
        <f>+A460+1</f>
        <v>51</v>
      </c>
      <c r="B484" s="21"/>
      <c r="C484" s="5" t="s">
        <v>162</v>
      </c>
    </row>
    <row r="485" spans="1:88" ht="12.75">
      <c r="A485" s="20"/>
      <c r="B485" s="20"/>
      <c r="C485" s="4" t="str">
        <f>C479</f>
        <v>Debt Reserve</v>
      </c>
      <c r="BX485" s="26">
        <v>0</v>
      </c>
      <c r="BY485" s="26">
        <v>0</v>
      </c>
      <c r="BZ485" s="26">
        <v>0</v>
      </c>
      <c r="CA485" s="26">
        <v>0</v>
      </c>
      <c r="CB485" s="26">
        <v>0</v>
      </c>
      <c r="CC485" s="26">
        <v>0</v>
      </c>
      <c r="CD485" s="26">
        <v>0</v>
      </c>
      <c r="CE485" s="26">
        <v>0</v>
      </c>
      <c r="CF485" s="26">
        <v>0</v>
      </c>
      <c r="CG485" s="26">
        <v>0</v>
      </c>
      <c r="CH485" s="26">
        <v>0</v>
      </c>
      <c r="CI485" s="42">
        <v>0</v>
      </c>
      <c r="CJ485" s="26">
        <f>SUM(BX485:CI485)</f>
        <v>0</v>
      </c>
    </row>
    <row r="486" spans="3:88" ht="12.75">
      <c r="C486" s="4" t="str">
        <f>C480</f>
        <v>Treasury Fee</v>
      </c>
      <c r="BX486" s="48">
        <v>250</v>
      </c>
      <c r="CJ486" s="26">
        <f>SUM(BX486:CI486)</f>
        <v>250</v>
      </c>
    </row>
    <row r="487" spans="3:88" ht="13.5" thickBot="1">
      <c r="C487" s="4" t="str">
        <f>C481</f>
        <v>Intercept</v>
      </c>
      <c r="BX487" s="26">
        <f aca="true" t="shared" si="111" ref="BX487:CG487">10833.33+40585.42</f>
        <v>51418.75</v>
      </c>
      <c r="BY487" s="26">
        <f t="shared" si="111"/>
        <v>51418.75</v>
      </c>
      <c r="BZ487" s="26">
        <f t="shared" si="111"/>
        <v>51418.75</v>
      </c>
      <c r="CA487" s="26">
        <f t="shared" si="111"/>
        <v>51418.75</v>
      </c>
      <c r="CB487" s="26">
        <f>10833.33+40585.4</f>
        <v>51418.73</v>
      </c>
      <c r="CC487" s="26">
        <f t="shared" si="111"/>
        <v>51418.75</v>
      </c>
      <c r="CD487" s="26">
        <f t="shared" si="111"/>
        <v>51418.75</v>
      </c>
      <c r="CE487" s="26">
        <f t="shared" si="111"/>
        <v>51418.75</v>
      </c>
      <c r="CF487" s="26">
        <f t="shared" si="111"/>
        <v>51418.75</v>
      </c>
      <c r="CG487" s="26">
        <f t="shared" si="111"/>
        <v>51418.75</v>
      </c>
      <c r="CH487" s="26">
        <f>10833.37+40585.4</f>
        <v>51418.770000000004</v>
      </c>
      <c r="CI487" s="42">
        <f>11250+39962.5</f>
        <v>51212.5</v>
      </c>
      <c r="CJ487" s="26">
        <f>SUM(BX487:CI487)</f>
        <v>616818.75</v>
      </c>
    </row>
    <row r="488" spans="3:88" ht="13.5" thickBot="1">
      <c r="C488" s="6" t="s">
        <v>163</v>
      </c>
      <c r="BX488" s="27">
        <f aca="true" t="shared" si="112" ref="BX488:CI488">SUM(BX485:BX487)</f>
        <v>51668.75</v>
      </c>
      <c r="BY488" s="27">
        <f t="shared" si="112"/>
        <v>51418.75</v>
      </c>
      <c r="BZ488" s="27">
        <f t="shared" si="112"/>
        <v>51418.75</v>
      </c>
      <c r="CA488" s="27">
        <f t="shared" si="112"/>
        <v>51418.75</v>
      </c>
      <c r="CB488" s="27">
        <f t="shared" si="112"/>
        <v>51418.73</v>
      </c>
      <c r="CC488" s="27">
        <f t="shared" si="112"/>
        <v>51418.75</v>
      </c>
      <c r="CD488" s="27">
        <f t="shared" si="112"/>
        <v>51418.75</v>
      </c>
      <c r="CE488" s="27">
        <f t="shared" si="112"/>
        <v>51418.75</v>
      </c>
      <c r="CF488" s="27">
        <f t="shared" si="112"/>
        <v>51418.75</v>
      </c>
      <c r="CG488" s="27">
        <f t="shared" si="112"/>
        <v>51418.75</v>
      </c>
      <c r="CH488" s="27">
        <f t="shared" si="112"/>
        <v>51418.770000000004</v>
      </c>
      <c r="CI488" s="43">
        <f t="shared" si="112"/>
        <v>51212.5</v>
      </c>
      <c r="CJ488" s="31">
        <f>SUM(CJ485:CJ487)</f>
        <v>617068.75</v>
      </c>
    </row>
    <row r="489" spans="3:88" ht="12.75">
      <c r="C489" s="12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44"/>
      <c r="CJ489" s="28"/>
    </row>
    <row r="490" spans="1:3" ht="21">
      <c r="A490" s="16">
        <f>+A484+1</f>
        <v>52</v>
      </c>
      <c r="B490" s="21"/>
      <c r="C490" s="5" t="s">
        <v>164</v>
      </c>
    </row>
    <row r="491" spans="1:88" ht="12.75">
      <c r="A491" s="20"/>
      <c r="B491" s="20"/>
      <c r="C491" s="4" t="str">
        <f>C485</f>
        <v>Debt Reserve</v>
      </c>
      <c r="BX491" s="26">
        <v>750</v>
      </c>
      <c r="BY491" s="26">
        <v>750</v>
      </c>
      <c r="BZ491" s="26">
        <v>750</v>
      </c>
      <c r="CA491" s="26">
        <v>750</v>
      </c>
      <c r="CB491" s="26">
        <v>750</v>
      </c>
      <c r="CC491" s="26">
        <v>750</v>
      </c>
      <c r="CD491" s="26">
        <v>750</v>
      </c>
      <c r="CE491" s="26">
        <v>750</v>
      </c>
      <c r="CF491" s="26">
        <v>750</v>
      </c>
      <c r="CG491" s="26">
        <v>750</v>
      </c>
      <c r="CH491" s="26">
        <v>750</v>
      </c>
      <c r="CI491" s="42">
        <v>750</v>
      </c>
      <c r="CJ491" s="26">
        <f>SUM(BX491:CI491)</f>
        <v>9000</v>
      </c>
    </row>
    <row r="492" spans="3:88" ht="12.75">
      <c r="C492" s="4" t="str">
        <f>C486</f>
        <v>Treasury Fee</v>
      </c>
      <c r="BX492" s="48">
        <v>250</v>
      </c>
      <c r="BY492" s="48"/>
      <c r="CJ492" s="26">
        <f>SUM(BX492:CI492)</f>
        <v>250</v>
      </c>
    </row>
    <row r="493" spans="3:88" ht="13.5" thickBot="1">
      <c r="C493" s="4" t="str">
        <f>C487</f>
        <v>Intercept</v>
      </c>
      <c r="BX493" s="26">
        <f>17916.67+32163.54</f>
        <v>50080.21</v>
      </c>
      <c r="BY493" s="26">
        <f aca="true" t="shared" si="113" ref="BY493:CI493">17916.67+32163.54</f>
        <v>50080.21</v>
      </c>
      <c r="BZ493" s="26">
        <f t="shared" si="113"/>
        <v>50080.21</v>
      </c>
      <c r="CA493" s="26">
        <f t="shared" si="113"/>
        <v>50080.21</v>
      </c>
      <c r="CB493" s="26">
        <f t="shared" si="113"/>
        <v>50080.21</v>
      </c>
      <c r="CC493" s="26">
        <f t="shared" si="113"/>
        <v>50080.21</v>
      </c>
      <c r="CD493" s="26">
        <f t="shared" si="113"/>
        <v>50080.21</v>
      </c>
      <c r="CE493" s="26">
        <f t="shared" si="113"/>
        <v>50080.21</v>
      </c>
      <c r="CF493" s="26">
        <f t="shared" si="113"/>
        <v>50080.21</v>
      </c>
      <c r="CG493" s="26">
        <f t="shared" si="113"/>
        <v>50080.21</v>
      </c>
      <c r="CH493" s="26">
        <f t="shared" si="113"/>
        <v>50080.21</v>
      </c>
      <c r="CI493" s="42">
        <f t="shared" si="113"/>
        <v>50080.21</v>
      </c>
      <c r="CJ493" s="26">
        <f>SUM(BX493:CI493)</f>
        <v>600962.52</v>
      </c>
    </row>
    <row r="494" spans="3:88" ht="13.5" thickBot="1">
      <c r="C494" s="6" t="s">
        <v>165</v>
      </c>
      <c r="BX494" s="27">
        <f aca="true" t="shared" si="114" ref="BX494:CI494">SUM(BX491:BX493)</f>
        <v>51080.21</v>
      </c>
      <c r="BY494" s="27">
        <f t="shared" si="114"/>
        <v>50830.21</v>
      </c>
      <c r="BZ494" s="27">
        <f t="shared" si="114"/>
        <v>50830.21</v>
      </c>
      <c r="CA494" s="27">
        <f t="shared" si="114"/>
        <v>50830.21</v>
      </c>
      <c r="CB494" s="27">
        <f t="shared" si="114"/>
        <v>50830.21</v>
      </c>
      <c r="CC494" s="27">
        <f t="shared" si="114"/>
        <v>50830.21</v>
      </c>
      <c r="CD494" s="27">
        <f t="shared" si="114"/>
        <v>50830.21</v>
      </c>
      <c r="CE494" s="27">
        <f t="shared" si="114"/>
        <v>50830.21</v>
      </c>
      <c r="CF494" s="27">
        <f t="shared" si="114"/>
        <v>50830.21</v>
      </c>
      <c r="CG494" s="27">
        <f t="shared" si="114"/>
        <v>50830.21</v>
      </c>
      <c r="CH494" s="27">
        <f t="shared" si="114"/>
        <v>50830.21</v>
      </c>
      <c r="CI494" s="43">
        <f t="shared" si="114"/>
        <v>50830.21</v>
      </c>
      <c r="CJ494" s="31">
        <f>SUM(CJ491:CJ493)</f>
        <v>610212.52</v>
      </c>
    </row>
    <row r="495" spans="3:88" ht="12.75">
      <c r="C495" s="12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44"/>
      <c r="CJ495" s="28"/>
    </row>
    <row r="496" spans="1:3" ht="21">
      <c r="A496" s="16">
        <f>+A490+1</f>
        <v>53</v>
      </c>
      <c r="B496" s="21"/>
      <c r="C496" s="5" t="s">
        <v>166</v>
      </c>
    </row>
    <row r="497" spans="1:88" ht="12.75">
      <c r="A497" s="20"/>
      <c r="B497" s="20"/>
      <c r="C497" s="4" t="str">
        <f>C491</f>
        <v>Debt Reserve</v>
      </c>
      <c r="BX497" s="26">
        <v>0</v>
      </c>
      <c r="BY497" s="26">
        <v>0</v>
      </c>
      <c r="BZ497" s="26">
        <v>0</v>
      </c>
      <c r="CA497" s="26">
        <v>0</v>
      </c>
      <c r="CB497" s="26">
        <v>0</v>
      </c>
      <c r="CC497" s="26">
        <v>0</v>
      </c>
      <c r="CD497" s="26">
        <v>0</v>
      </c>
      <c r="CE497" s="26">
        <v>0</v>
      </c>
      <c r="CF497" s="26">
        <v>0</v>
      </c>
      <c r="CG497" s="26">
        <v>0</v>
      </c>
      <c r="CH497" s="26">
        <v>0</v>
      </c>
      <c r="CI497" s="42">
        <v>0</v>
      </c>
      <c r="CJ497" s="26">
        <f>SUM(BX497:CI497)</f>
        <v>0</v>
      </c>
    </row>
    <row r="498" spans="3:88" ht="12.75">
      <c r="C498" s="4" t="str">
        <f>C492</f>
        <v>Treasury Fee</v>
      </c>
      <c r="BX498" s="48">
        <v>250</v>
      </c>
      <c r="BY498" s="48"/>
      <c r="CB498" s="48"/>
      <c r="CJ498" s="26">
        <f>SUM(BX498:CI498)</f>
        <v>250</v>
      </c>
    </row>
    <row r="499" spans="3:88" ht="13.5" thickBot="1">
      <c r="C499" s="4" t="str">
        <f>C493</f>
        <v>Intercept</v>
      </c>
      <c r="BX499" s="26">
        <f>5833.33+37158.33</f>
        <v>42991.66</v>
      </c>
      <c r="BY499" s="26">
        <f>5833.33+37158.33</f>
        <v>42991.66</v>
      </c>
      <c r="BZ499" s="26">
        <f>5833.37+37158.35</f>
        <v>42991.72</v>
      </c>
      <c r="CA499" s="26">
        <f>6250+36750</f>
        <v>43000</v>
      </c>
      <c r="CB499" s="26">
        <f aca="true" t="shared" si="115" ref="CB499:CJ499">6250+36750</f>
        <v>43000</v>
      </c>
      <c r="CC499" s="26">
        <f t="shared" si="115"/>
        <v>43000</v>
      </c>
      <c r="CD499" s="26">
        <f t="shared" si="115"/>
        <v>43000</v>
      </c>
      <c r="CE499" s="26">
        <f t="shared" si="115"/>
        <v>43000</v>
      </c>
      <c r="CF499" s="26">
        <f t="shared" si="115"/>
        <v>43000</v>
      </c>
      <c r="CG499" s="26">
        <f t="shared" si="115"/>
        <v>43000</v>
      </c>
      <c r="CH499" s="26">
        <f t="shared" si="115"/>
        <v>43000</v>
      </c>
      <c r="CI499" s="42">
        <f t="shared" si="115"/>
        <v>43000</v>
      </c>
      <c r="CJ499" s="26">
        <f>SUM(BX499:CI499)</f>
        <v>515975.04000000004</v>
      </c>
    </row>
    <row r="500" spans="3:88" ht="13.5" thickBot="1">
      <c r="C500" s="6" t="s">
        <v>167</v>
      </c>
      <c r="BX500" s="27">
        <f aca="true" t="shared" si="116" ref="BX500:CI500">SUM(BX497:BX499)</f>
        <v>43241.66</v>
      </c>
      <c r="BY500" s="27">
        <f t="shared" si="116"/>
        <v>42991.66</v>
      </c>
      <c r="BZ500" s="27">
        <f t="shared" si="116"/>
        <v>42991.72</v>
      </c>
      <c r="CA500" s="27">
        <f t="shared" si="116"/>
        <v>43000</v>
      </c>
      <c r="CB500" s="27">
        <f t="shared" si="116"/>
        <v>43000</v>
      </c>
      <c r="CC500" s="27">
        <f t="shared" si="116"/>
        <v>43000</v>
      </c>
      <c r="CD500" s="27">
        <f t="shared" si="116"/>
        <v>43000</v>
      </c>
      <c r="CE500" s="27">
        <f t="shared" si="116"/>
        <v>43000</v>
      </c>
      <c r="CF500" s="27">
        <f t="shared" si="116"/>
        <v>43000</v>
      </c>
      <c r="CG500" s="27">
        <f t="shared" si="116"/>
        <v>43000</v>
      </c>
      <c r="CH500" s="27">
        <f t="shared" si="116"/>
        <v>43000</v>
      </c>
      <c r="CI500" s="43">
        <f t="shared" si="116"/>
        <v>43000</v>
      </c>
      <c r="CJ500" s="31">
        <f>SUM(CJ497:CJ499)</f>
        <v>516225.04000000004</v>
      </c>
    </row>
    <row r="501" spans="3:88" ht="12.75">
      <c r="C501" s="12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44"/>
      <c r="CJ501" s="28"/>
    </row>
    <row r="502" spans="1:3" ht="21">
      <c r="A502" s="16"/>
      <c r="B502" s="46" t="s">
        <v>105</v>
      </c>
      <c r="C502" s="32" t="s">
        <v>168</v>
      </c>
    </row>
    <row r="503" spans="1:88" ht="12.75">
      <c r="A503" s="20"/>
      <c r="B503" s="20"/>
      <c r="C503" s="4" t="str">
        <f>C497</f>
        <v>Debt Reserve</v>
      </c>
      <c r="BX503" s="26">
        <v>0</v>
      </c>
      <c r="BY503" s="26">
        <v>0</v>
      </c>
      <c r="BZ503" s="26">
        <v>0</v>
      </c>
      <c r="CA503" s="26">
        <v>0</v>
      </c>
      <c r="CB503" s="26">
        <v>0</v>
      </c>
      <c r="CC503" s="26">
        <v>0</v>
      </c>
      <c r="CD503" s="26">
        <v>0</v>
      </c>
      <c r="CE503" s="26">
        <v>0</v>
      </c>
      <c r="CF503" s="26">
        <v>0</v>
      </c>
      <c r="CG503" s="26"/>
      <c r="CH503" s="26"/>
      <c r="CI503" s="42"/>
      <c r="CJ503" s="26">
        <f>SUM(BX503:CI503)</f>
        <v>0</v>
      </c>
    </row>
    <row r="504" spans="3:88" ht="12.75">
      <c r="C504" s="4" t="str">
        <f>C498</f>
        <v>Treasury Fee</v>
      </c>
      <c r="BX504" s="48">
        <v>250</v>
      </c>
      <c r="BY504" s="48"/>
      <c r="CB504" s="48"/>
      <c r="CJ504" s="26">
        <f>SUM(BX504:CI504)</f>
        <v>250</v>
      </c>
    </row>
    <row r="505" spans="3:88" ht="13.5" thickBot="1">
      <c r="C505" s="4" t="str">
        <f>C499</f>
        <v>Intercept</v>
      </c>
      <c r="BX505" s="26">
        <v>49410</v>
      </c>
      <c r="BY505" s="26">
        <v>49410</v>
      </c>
      <c r="BZ505" s="26">
        <v>49410</v>
      </c>
      <c r="CA505" s="26">
        <v>49410</v>
      </c>
      <c r="CB505" s="26">
        <v>49410</v>
      </c>
      <c r="CC505" s="26">
        <f>6666.67+49410</f>
        <v>56076.67</v>
      </c>
      <c r="CD505" s="26">
        <f>6666.67+49410</f>
        <v>56076.67</v>
      </c>
      <c r="CE505" s="26">
        <f>6666.67+49410</f>
        <v>56076.67</v>
      </c>
      <c r="CF505" s="26">
        <f>6666.67+49410</f>
        <v>56076.67</v>
      </c>
      <c r="CG505" s="26"/>
      <c r="CH505" s="26"/>
      <c r="CI505" s="42"/>
      <c r="CJ505" s="26">
        <f>SUM(BX505:CI505)</f>
        <v>471356.67999999993</v>
      </c>
    </row>
    <row r="506" spans="3:88" ht="13.5" thickBot="1">
      <c r="C506" s="6" t="s">
        <v>169</v>
      </c>
      <c r="BX506" s="27">
        <f aca="true" t="shared" si="117" ref="BX506:CI506">SUM(BX503:BX505)</f>
        <v>49660</v>
      </c>
      <c r="BY506" s="27">
        <f t="shared" si="117"/>
        <v>49410</v>
      </c>
      <c r="BZ506" s="27">
        <f t="shared" si="117"/>
        <v>49410</v>
      </c>
      <c r="CA506" s="27">
        <f t="shared" si="117"/>
        <v>49410</v>
      </c>
      <c r="CB506" s="27">
        <f t="shared" si="117"/>
        <v>49410</v>
      </c>
      <c r="CC506" s="27">
        <f t="shared" si="117"/>
        <v>56076.67</v>
      </c>
      <c r="CD506" s="27">
        <f t="shared" si="117"/>
        <v>56076.67</v>
      </c>
      <c r="CE506" s="27">
        <f t="shared" si="117"/>
        <v>56076.67</v>
      </c>
      <c r="CF506" s="27">
        <f t="shared" si="117"/>
        <v>56076.67</v>
      </c>
      <c r="CG506" s="27">
        <f t="shared" si="117"/>
        <v>0</v>
      </c>
      <c r="CH506" s="27">
        <f t="shared" si="117"/>
        <v>0</v>
      </c>
      <c r="CI506" s="43">
        <f t="shared" si="117"/>
        <v>0</v>
      </c>
      <c r="CJ506" s="31">
        <f>SUM(CJ503:CJ505)</f>
        <v>471606.67999999993</v>
      </c>
    </row>
    <row r="507" spans="3:88" ht="12.75">
      <c r="C507" s="12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44"/>
      <c r="CJ507" s="28"/>
    </row>
    <row r="508" spans="1:3" ht="21">
      <c r="A508" s="16">
        <f>+A496+1</f>
        <v>54</v>
      </c>
      <c r="B508" s="21"/>
      <c r="C508" s="5" t="s">
        <v>170</v>
      </c>
    </row>
    <row r="509" spans="1:88" ht="12.75">
      <c r="A509" s="20"/>
      <c r="B509" s="20"/>
      <c r="C509" s="4" t="str">
        <f>C503</f>
        <v>Debt Reserve</v>
      </c>
      <c r="BX509" s="26">
        <v>0</v>
      </c>
      <c r="BY509" s="26">
        <v>0</v>
      </c>
      <c r="BZ509" s="26">
        <v>0</v>
      </c>
      <c r="CA509" s="26">
        <v>0</v>
      </c>
      <c r="CB509" s="26">
        <v>0</v>
      </c>
      <c r="CC509" s="26">
        <v>0</v>
      </c>
      <c r="CD509" s="26">
        <v>0</v>
      </c>
      <c r="CE509" s="26">
        <v>0</v>
      </c>
      <c r="CF509" s="26">
        <v>0</v>
      </c>
      <c r="CG509" s="26">
        <v>0</v>
      </c>
      <c r="CH509" s="26">
        <v>0</v>
      </c>
      <c r="CI509" s="42">
        <v>0</v>
      </c>
      <c r="CJ509" s="26">
        <f>SUM(BX509:CI509)</f>
        <v>0</v>
      </c>
    </row>
    <row r="510" spans="3:88" ht="12.75">
      <c r="C510" s="4" t="str">
        <f>C504</f>
        <v>Treasury Fee</v>
      </c>
      <c r="BX510" s="48">
        <v>250</v>
      </c>
      <c r="CJ510" s="26">
        <f>SUM(BX510:CI510)</f>
        <v>250</v>
      </c>
    </row>
    <row r="511" spans="3:88" ht="13.5" thickBot="1">
      <c r="C511" s="4" t="str">
        <f>C505</f>
        <v>Intercept</v>
      </c>
      <c r="BX511" s="26">
        <v>0</v>
      </c>
      <c r="BY511" s="26">
        <v>0</v>
      </c>
      <c r="BZ511" s="26">
        <v>0</v>
      </c>
      <c r="CA511" s="26">
        <v>95000</v>
      </c>
      <c r="CB511" s="26">
        <v>95000</v>
      </c>
      <c r="CC511" s="26">
        <f>25416.67+95000</f>
        <v>120416.67</v>
      </c>
      <c r="CD511" s="26">
        <f aca="true" t="shared" si="118" ref="CD511:CJ511">25416.67+95000</f>
        <v>120416.67</v>
      </c>
      <c r="CE511" s="26">
        <f t="shared" si="118"/>
        <v>120416.67</v>
      </c>
      <c r="CF511" s="26">
        <f t="shared" si="118"/>
        <v>120416.67</v>
      </c>
      <c r="CG511" s="26">
        <f t="shared" si="118"/>
        <v>120416.67</v>
      </c>
      <c r="CH511" s="26">
        <f t="shared" si="118"/>
        <v>120416.67</v>
      </c>
      <c r="CI511" s="42">
        <f t="shared" si="118"/>
        <v>120416.67</v>
      </c>
      <c r="CJ511" s="26">
        <f>SUM(BX511:CI511)</f>
        <v>1032916.6900000002</v>
      </c>
    </row>
    <row r="512" spans="3:88" ht="13.5" thickBot="1">
      <c r="C512" s="6" t="s">
        <v>116</v>
      </c>
      <c r="BX512" s="27">
        <f aca="true" t="shared" si="119" ref="BX512:CI512">SUM(BX509:BX511)</f>
        <v>250</v>
      </c>
      <c r="BY512" s="27">
        <f t="shared" si="119"/>
        <v>0</v>
      </c>
      <c r="BZ512" s="27">
        <f t="shared" si="119"/>
        <v>0</v>
      </c>
      <c r="CA512" s="27">
        <f t="shared" si="119"/>
        <v>95000</v>
      </c>
      <c r="CB512" s="27">
        <f t="shared" si="119"/>
        <v>95000</v>
      </c>
      <c r="CC512" s="27">
        <f t="shared" si="119"/>
        <v>120416.67</v>
      </c>
      <c r="CD512" s="27">
        <f t="shared" si="119"/>
        <v>120416.67</v>
      </c>
      <c r="CE512" s="27">
        <f t="shared" si="119"/>
        <v>120416.67</v>
      </c>
      <c r="CF512" s="27">
        <f t="shared" si="119"/>
        <v>120416.67</v>
      </c>
      <c r="CG512" s="27">
        <f t="shared" si="119"/>
        <v>120416.67</v>
      </c>
      <c r="CH512" s="27">
        <f t="shared" si="119"/>
        <v>120416.67</v>
      </c>
      <c r="CI512" s="43">
        <f t="shared" si="119"/>
        <v>120416.67</v>
      </c>
      <c r="CJ512" s="31">
        <f>SUM(CJ509:CJ511)</f>
        <v>1033166.6900000002</v>
      </c>
    </row>
    <row r="513" spans="3:88" ht="12.75">
      <c r="C513" s="12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44"/>
      <c r="CJ513" s="28"/>
    </row>
    <row r="514" spans="1:3" ht="21">
      <c r="A514" s="16">
        <f>+A508+1</f>
        <v>55</v>
      </c>
      <c r="B514" s="21"/>
      <c r="C514" s="5" t="s">
        <v>171</v>
      </c>
    </row>
    <row r="515" spans="1:88" ht="12.75">
      <c r="A515" s="20"/>
      <c r="B515" s="20"/>
      <c r="C515" s="4" t="str">
        <f>C509</f>
        <v>Debt Reserve</v>
      </c>
      <c r="BX515" s="26">
        <v>0</v>
      </c>
      <c r="BY515" s="26">
        <v>0</v>
      </c>
      <c r="BZ515" s="26">
        <v>0</v>
      </c>
      <c r="CA515" s="26">
        <v>0</v>
      </c>
      <c r="CB515" s="26">
        <v>0</v>
      </c>
      <c r="CC515" s="26">
        <v>0</v>
      </c>
      <c r="CD515" s="26">
        <v>0</v>
      </c>
      <c r="CE515" s="26">
        <v>0</v>
      </c>
      <c r="CF515" s="26">
        <v>0</v>
      </c>
      <c r="CG515" s="26">
        <v>0</v>
      </c>
      <c r="CH515" s="26">
        <v>0</v>
      </c>
      <c r="CI515" s="42">
        <v>0</v>
      </c>
      <c r="CJ515" s="26">
        <f>SUM(BX515:CI515)</f>
        <v>0</v>
      </c>
    </row>
    <row r="516" spans="3:88" ht="12.75">
      <c r="C516" s="4" t="str">
        <f>C510</f>
        <v>Treasury Fee</v>
      </c>
      <c r="BX516" s="48">
        <v>250</v>
      </c>
      <c r="CJ516" s="26">
        <f>SUM(BX516:CI516)</f>
        <v>250</v>
      </c>
    </row>
    <row r="517" spans="3:88" ht="13.5" thickBot="1">
      <c r="C517" s="4" t="str">
        <f>C511</f>
        <v>Intercept</v>
      </c>
      <c r="BX517" s="26">
        <f>9090.91+30583.33</f>
        <v>39674.240000000005</v>
      </c>
      <c r="BY517" s="26">
        <f>9090.91+30583.33</f>
        <v>39674.240000000005</v>
      </c>
      <c r="BZ517" s="26">
        <f>9090.91+30583.33</f>
        <v>39674.240000000005</v>
      </c>
      <c r="CA517" s="26">
        <f>9090.9+30583.35</f>
        <v>39674.25</v>
      </c>
      <c r="CB517" s="26">
        <f>9583.33+30166.67</f>
        <v>39750</v>
      </c>
      <c r="CC517" s="26">
        <f aca="true" t="shared" si="120" ref="CC517:CJ517">9583.33+30166.67</f>
        <v>39750</v>
      </c>
      <c r="CD517" s="26">
        <f t="shared" si="120"/>
        <v>39750</v>
      </c>
      <c r="CE517" s="26">
        <f t="shared" si="120"/>
        <v>39750</v>
      </c>
      <c r="CF517" s="26">
        <f t="shared" si="120"/>
        <v>39750</v>
      </c>
      <c r="CG517" s="26">
        <f>9583.33+30166.65</f>
        <v>39749.98</v>
      </c>
      <c r="CH517" s="26">
        <f t="shared" si="120"/>
        <v>39750</v>
      </c>
      <c r="CI517" s="42">
        <f t="shared" si="120"/>
        <v>39750</v>
      </c>
      <c r="CJ517" s="26">
        <f>SUM(BX517:CI517)</f>
        <v>476696.95</v>
      </c>
    </row>
    <row r="518" spans="3:88" ht="13.5" thickBot="1">
      <c r="C518" s="6" t="s">
        <v>172</v>
      </c>
      <c r="BX518" s="27">
        <f aca="true" t="shared" si="121" ref="BX518:CI518">SUM(BX515:BX517)</f>
        <v>39924.240000000005</v>
      </c>
      <c r="BY518" s="27">
        <f t="shared" si="121"/>
        <v>39674.240000000005</v>
      </c>
      <c r="BZ518" s="27">
        <f t="shared" si="121"/>
        <v>39674.240000000005</v>
      </c>
      <c r="CA518" s="27">
        <f t="shared" si="121"/>
        <v>39674.25</v>
      </c>
      <c r="CB518" s="27">
        <f t="shared" si="121"/>
        <v>39750</v>
      </c>
      <c r="CC518" s="27">
        <f t="shared" si="121"/>
        <v>39750</v>
      </c>
      <c r="CD518" s="27">
        <f t="shared" si="121"/>
        <v>39750</v>
      </c>
      <c r="CE518" s="27">
        <f t="shared" si="121"/>
        <v>39750</v>
      </c>
      <c r="CF518" s="27">
        <f t="shared" si="121"/>
        <v>39750</v>
      </c>
      <c r="CG518" s="27">
        <f t="shared" si="121"/>
        <v>39749.98</v>
      </c>
      <c r="CH518" s="27">
        <f t="shared" si="121"/>
        <v>39750</v>
      </c>
      <c r="CI518" s="43">
        <f t="shared" si="121"/>
        <v>39750</v>
      </c>
      <c r="CJ518" s="31">
        <f>SUM(CJ515:CJ517)</f>
        <v>476946.95</v>
      </c>
    </row>
    <row r="519" spans="3:88" ht="12.75">
      <c r="C519" s="12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44"/>
      <c r="CJ519" s="28"/>
    </row>
    <row r="520" spans="1:3" ht="21">
      <c r="A520" s="16">
        <f>+A514+1</f>
        <v>56</v>
      </c>
      <c r="B520" s="35" t="s">
        <v>103</v>
      </c>
      <c r="C520" s="34" t="s">
        <v>173</v>
      </c>
    </row>
    <row r="521" spans="1:88" ht="12.75">
      <c r="A521" s="20"/>
      <c r="B521" s="20"/>
      <c r="C521" s="4" t="str">
        <f>C515</f>
        <v>Debt Reserve</v>
      </c>
      <c r="BX521" s="26">
        <v>1469.17</v>
      </c>
      <c r="BY521" s="26">
        <v>1469.17</v>
      </c>
      <c r="BZ521" s="26">
        <v>1469.17</v>
      </c>
      <c r="CA521" s="26">
        <v>1469.17</v>
      </c>
      <c r="CB521" s="26">
        <v>1469.17</v>
      </c>
      <c r="CC521" s="26">
        <v>1469.17</v>
      </c>
      <c r="CD521" s="26">
        <v>1469.17</v>
      </c>
      <c r="CE521" s="26">
        <v>1469.17</v>
      </c>
      <c r="CF521" s="26">
        <v>1430</v>
      </c>
      <c r="CG521" s="26">
        <v>1430</v>
      </c>
      <c r="CH521" s="26">
        <v>1430</v>
      </c>
      <c r="CI521" s="42">
        <v>1430</v>
      </c>
      <c r="CJ521" s="26">
        <f>SUM(BX521:CI521)</f>
        <v>17473.36</v>
      </c>
    </row>
    <row r="522" spans="3:88" ht="12.75">
      <c r="C522" s="4" t="str">
        <f>C516</f>
        <v>Treasury Fee</v>
      </c>
      <c r="BX522" s="48">
        <v>250</v>
      </c>
      <c r="BY522" s="48"/>
      <c r="CB522" s="48"/>
      <c r="CJ522" s="26">
        <f>SUM(BX522:CI522)</f>
        <v>250</v>
      </c>
    </row>
    <row r="523" spans="3:88" ht="13.5" thickBot="1">
      <c r="C523" s="4" t="str">
        <f>C517</f>
        <v>Intercept</v>
      </c>
      <c r="BX523" s="26">
        <f aca="true" t="shared" si="122" ref="BX523:CH523">40833.33+62407.29</f>
        <v>103240.62</v>
      </c>
      <c r="BY523" s="26">
        <f t="shared" si="122"/>
        <v>103240.62</v>
      </c>
      <c r="BZ523" s="26">
        <f t="shared" si="122"/>
        <v>103240.62</v>
      </c>
      <c r="CA523" s="26">
        <f t="shared" si="122"/>
        <v>103240.62</v>
      </c>
      <c r="CB523" s="26">
        <f t="shared" si="122"/>
        <v>103240.62</v>
      </c>
      <c r="CC523" s="26">
        <f t="shared" si="122"/>
        <v>103240.62</v>
      </c>
      <c r="CD523" s="26">
        <f t="shared" si="122"/>
        <v>103240.62</v>
      </c>
      <c r="CE523" s="26">
        <f t="shared" si="122"/>
        <v>103240.62</v>
      </c>
      <c r="CF523" s="26">
        <f t="shared" si="122"/>
        <v>103240.62</v>
      </c>
      <c r="CG523" s="26">
        <f t="shared" si="122"/>
        <v>103240.62</v>
      </c>
      <c r="CH523" s="26">
        <f t="shared" si="122"/>
        <v>103240.62</v>
      </c>
      <c r="CI523" s="42">
        <f>42083.33+61182.29</f>
        <v>103265.62</v>
      </c>
      <c r="CJ523" s="26">
        <f>SUM(BX523:CI523)</f>
        <v>1238912.44</v>
      </c>
    </row>
    <row r="524" spans="3:88" ht="13.5" thickBot="1">
      <c r="C524" s="6" t="s">
        <v>129</v>
      </c>
      <c r="BX524" s="27">
        <f aca="true" t="shared" si="123" ref="BX524:CI524">SUM(BX521:BX523)</f>
        <v>104959.79</v>
      </c>
      <c r="BY524" s="27">
        <f t="shared" si="123"/>
        <v>104709.79</v>
      </c>
      <c r="BZ524" s="27">
        <f t="shared" si="123"/>
        <v>104709.79</v>
      </c>
      <c r="CA524" s="27">
        <f t="shared" si="123"/>
        <v>104709.79</v>
      </c>
      <c r="CB524" s="27">
        <f t="shared" si="123"/>
        <v>104709.79</v>
      </c>
      <c r="CC524" s="27">
        <f t="shared" si="123"/>
        <v>104709.79</v>
      </c>
      <c r="CD524" s="27">
        <f t="shared" si="123"/>
        <v>104709.79</v>
      </c>
      <c r="CE524" s="27">
        <f t="shared" si="123"/>
        <v>104709.79</v>
      </c>
      <c r="CF524" s="27">
        <f t="shared" si="123"/>
        <v>104670.62</v>
      </c>
      <c r="CG524" s="27">
        <f t="shared" si="123"/>
        <v>104670.62</v>
      </c>
      <c r="CH524" s="27">
        <f t="shared" si="123"/>
        <v>104670.62</v>
      </c>
      <c r="CI524" s="43">
        <f t="shared" si="123"/>
        <v>104695.62</v>
      </c>
      <c r="CJ524" s="31">
        <f>SUM(CJ521:CJ523)</f>
        <v>1256635.8</v>
      </c>
    </row>
    <row r="525" spans="3:88" ht="12.75">
      <c r="C525" s="12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44"/>
      <c r="CJ525" s="28"/>
    </row>
    <row r="526" spans="1:3" ht="21">
      <c r="A526" s="16">
        <f>+A520+1</f>
        <v>57</v>
      </c>
      <c r="B526" s="21"/>
      <c r="C526" s="5" t="s">
        <v>174</v>
      </c>
    </row>
    <row r="527" spans="1:88" ht="12.75">
      <c r="A527" s="20"/>
      <c r="B527" s="20"/>
      <c r="C527" s="4" t="str">
        <f>C521</f>
        <v>Debt Reserve</v>
      </c>
      <c r="BX527" s="26">
        <v>628.75</v>
      </c>
      <c r="BY527" s="26">
        <v>628.75</v>
      </c>
      <c r="BZ527" s="26">
        <v>628.75</v>
      </c>
      <c r="CA527" s="26">
        <v>628.75</v>
      </c>
      <c r="CB527" s="26">
        <v>628.75</v>
      </c>
      <c r="CC527" s="26">
        <v>628.75</v>
      </c>
      <c r="CD527" s="26">
        <v>628.75</v>
      </c>
      <c r="CE527" s="26">
        <v>628.75</v>
      </c>
      <c r="CF527" s="26">
        <v>628.75</v>
      </c>
      <c r="CG527" s="26">
        <v>617.08</v>
      </c>
      <c r="CH527" s="26">
        <v>617.08</v>
      </c>
      <c r="CI527" s="42">
        <v>617.08</v>
      </c>
      <c r="CJ527" s="26">
        <f>SUM(BX527:CI527)</f>
        <v>7509.99</v>
      </c>
    </row>
    <row r="528" spans="3:88" ht="12.75">
      <c r="C528" s="4" t="str">
        <f>C522</f>
        <v>Treasury Fee</v>
      </c>
      <c r="BX528" s="48">
        <v>250</v>
      </c>
      <c r="BY528" s="48"/>
      <c r="CB528" s="48"/>
      <c r="CJ528" s="26">
        <f>SUM(BX528:CI528)</f>
        <v>250</v>
      </c>
    </row>
    <row r="529" spans="3:88" ht="13.5" thickBot="1">
      <c r="C529" s="4" t="str">
        <f>C523</f>
        <v>Intercept</v>
      </c>
      <c r="BX529" s="26">
        <f>11666.67+27119.92</f>
        <v>38786.59</v>
      </c>
      <c r="BY529" s="26">
        <f>11666.67+27119.9</f>
        <v>38786.57</v>
      </c>
      <c r="BZ529" s="26">
        <f>11666.67+27119.92</f>
        <v>38786.59</v>
      </c>
      <c r="CA529" s="26">
        <f>11666.67+27119.92</f>
        <v>38786.59</v>
      </c>
      <c r="CB529" s="26">
        <f>11666.67+27119.92</f>
        <v>38786.59</v>
      </c>
      <c r="CC529" s="26">
        <f>11666.67+27119.92</f>
        <v>38786.59</v>
      </c>
      <c r="CD529" s="26">
        <f>11666.67+27119.92</f>
        <v>38786.59</v>
      </c>
      <c r="CE529" s="26">
        <f>11666.63+27119.9</f>
        <v>38786.53</v>
      </c>
      <c r="CF529" s="26">
        <f>11666.67+26847.5</f>
        <v>38514.17</v>
      </c>
      <c r="CG529" s="26">
        <f>11666.67+26847.5</f>
        <v>38514.17</v>
      </c>
      <c r="CH529" s="26">
        <f>11666.67+26847.5</f>
        <v>38514.17</v>
      </c>
      <c r="CI529" s="42">
        <f>11666.67+26847.5</f>
        <v>38514.17</v>
      </c>
      <c r="CJ529" s="26">
        <f>SUM(BX529:CI529)</f>
        <v>464349.31999999995</v>
      </c>
    </row>
    <row r="530" spans="3:88" ht="13.5" thickBot="1">
      <c r="C530" s="6" t="s">
        <v>175</v>
      </c>
      <c r="BX530" s="27">
        <f aca="true" t="shared" si="124" ref="BX530:CI530">SUM(BX527:BX529)</f>
        <v>39665.34</v>
      </c>
      <c r="BY530" s="27">
        <f t="shared" si="124"/>
        <v>39415.32</v>
      </c>
      <c r="BZ530" s="27">
        <f t="shared" si="124"/>
        <v>39415.34</v>
      </c>
      <c r="CA530" s="27">
        <f t="shared" si="124"/>
        <v>39415.34</v>
      </c>
      <c r="CB530" s="27">
        <f t="shared" si="124"/>
        <v>39415.34</v>
      </c>
      <c r="CC530" s="27">
        <f t="shared" si="124"/>
        <v>39415.34</v>
      </c>
      <c r="CD530" s="27">
        <f t="shared" si="124"/>
        <v>39415.34</v>
      </c>
      <c r="CE530" s="27">
        <f t="shared" si="124"/>
        <v>39415.28</v>
      </c>
      <c r="CF530" s="27">
        <f t="shared" si="124"/>
        <v>39142.92</v>
      </c>
      <c r="CG530" s="27">
        <f t="shared" si="124"/>
        <v>39131.25</v>
      </c>
      <c r="CH530" s="27">
        <f t="shared" si="124"/>
        <v>39131.25</v>
      </c>
      <c r="CI530" s="43">
        <f t="shared" si="124"/>
        <v>39131.25</v>
      </c>
      <c r="CJ530" s="31">
        <f>SUM(CJ527:CJ529)</f>
        <v>472109.30999999994</v>
      </c>
    </row>
    <row r="531" spans="3:88" ht="12.75">
      <c r="C531" s="12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44"/>
      <c r="CJ531" s="28"/>
    </row>
    <row r="532" spans="1:3" ht="21">
      <c r="A532" s="16">
        <f>+A526+1</f>
        <v>58</v>
      </c>
      <c r="B532" s="21"/>
      <c r="C532" s="5" t="s">
        <v>176</v>
      </c>
    </row>
    <row r="533" spans="1:88" ht="12.75">
      <c r="A533" s="20"/>
      <c r="B533" s="20"/>
      <c r="C533" s="4" t="str">
        <f>C527</f>
        <v>Debt Reserve</v>
      </c>
      <c r="BX533" s="26">
        <v>509.07</v>
      </c>
      <c r="BY533" s="26">
        <v>509.06</v>
      </c>
      <c r="BZ533" s="26">
        <v>509.06</v>
      </c>
      <c r="CA533" s="26">
        <v>509.06</v>
      </c>
      <c r="CB533" s="26">
        <v>509.06</v>
      </c>
      <c r="CC533" s="26">
        <v>509.06</v>
      </c>
      <c r="CD533" s="26">
        <v>509.06</v>
      </c>
      <c r="CE533" s="26">
        <v>490.71</v>
      </c>
      <c r="CF533" s="26">
        <v>490.71</v>
      </c>
      <c r="CG533" s="26">
        <v>490.71</v>
      </c>
      <c r="CH533" s="26">
        <v>490.71</v>
      </c>
      <c r="CI533" s="42">
        <v>490.71</v>
      </c>
      <c r="CJ533" s="26">
        <f>SUM(BX533:CI533)</f>
        <v>6016.98</v>
      </c>
    </row>
    <row r="534" spans="3:88" ht="12.75">
      <c r="C534" s="4" t="str">
        <f>C528</f>
        <v>Treasury Fee</v>
      </c>
      <c r="BX534" s="48">
        <v>250</v>
      </c>
      <c r="BY534" s="48"/>
      <c r="CB534" s="48"/>
      <c r="CJ534" s="26">
        <f>SUM(BX534:CI534)</f>
        <v>250</v>
      </c>
    </row>
    <row r="535" spans="3:88" ht="13.5" thickBot="1">
      <c r="C535" s="4" t="str">
        <f>C529</f>
        <v>Intercept</v>
      </c>
      <c r="BX535" s="26">
        <f>18355.29+16340.98</f>
        <v>34696.270000000004</v>
      </c>
      <c r="BY535" s="26">
        <f>18355.29+16340.97</f>
        <v>34696.26</v>
      </c>
      <c r="BZ535" s="26">
        <f>18355.29+16340.98</f>
        <v>34696.270000000004</v>
      </c>
      <c r="CA535" s="26">
        <f>18355.29+16340.98</f>
        <v>34696.270000000004</v>
      </c>
      <c r="CB535" s="26">
        <f>18355.29+16340.98</f>
        <v>34696.270000000004</v>
      </c>
      <c r="CC535" s="26">
        <f>18355.29+16340.98</f>
        <v>34696.270000000004</v>
      </c>
      <c r="CD535" s="26">
        <f>18355.29+16340.98</f>
        <v>34696.270000000004</v>
      </c>
      <c r="CE535" s="26">
        <f>18962.85+15751.78</f>
        <v>34714.63</v>
      </c>
      <c r="CF535" s="26">
        <f>18962.85+15751.78</f>
        <v>34714.63</v>
      </c>
      <c r="CG535" s="26">
        <f>18962.85+15751.78</f>
        <v>34714.63</v>
      </c>
      <c r="CH535" s="26">
        <f>18962.85+15751.77</f>
        <v>34714.619999999995</v>
      </c>
      <c r="CI535" s="42">
        <f>18962.85+15751.77</f>
        <v>34714.619999999995</v>
      </c>
      <c r="CJ535" s="26">
        <f>SUM(BX535:CI535)</f>
        <v>416447.01000000007</v>
      </c>
    </row>
    <row r="536" spans="3:88" ht="13.5" thickBot="1">
      <c r="C536" s="6" t="s">
        <v>177</v>
      </c>
      <c r="BX536" s="27">
        <f aca="true" t="shared" si="125" ref="BX536:CI536">SUM(BX533:BX535)</f>
        <v>35455.340000000004</v>
      </c>
      <c r="BY536" s="27">
        <f t="shared" si="125"/>
        <v>35205.32</v>
      </c>
      <c r="BZ536" s="27">
        <f t="shared" si="125"/>
        <v>35205.33</v>
      </c>
      <c r="CA536" s="27">
        <f t="shared" si="125"/>
        <v>35205.33</v>
      </c>
      <c r="CB536" s="27">
        <f t="shared" si="125"/>
        <v>35205.33</v>
      </c>
      <c r="CC536" s="27">
        <f t="shared" si="125"/>
        <v>35205.33</v>
      </c>
      <c r="CD536" s="27">
        <f t="shared" si="125"/>
        <v>35205.33</v>
      </c>
      <c r="CE536" s="27">
        <f t="shared" si="125"/>
        <v>35205.34</v>
      </c>
      <c r="CF536" s="27">
        <f t="shared" si="125"/>
        <v>35205.34</v>
      </c>
      <c r="CG536" s="27">
        <f t="shared" si="125"/>
        <v>35205.34</v>
      </c>
      <c r="CH536" s="27">
        <f t="shared" si="125"/>
        <v>35205.329999999994</v>
      </c>
      <c r="CI536" s="43">
        <f t="shared" si="125"/>
        <v>35205.329999999994</v>
      </c>
      <c r="CJ536" s="31">
        <f>SUM(CJ533:CJ535)</f>
        <v>422713.99000000005</v>
      </c>
    </row>
    <row r="537" spans="3:88" ht="12.75">
      <c r="C537" s="12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44"/>
      <c r="CJ537" s="28"/>
    </row>
    <row r="538" spans="1:3" ht="21">
      <c r="A538" s="16">
        <f>+A532+1</f>
        <v>59</v>
      </c>
      <c r="B538" s="21"/>
      <c r="C538" s="5" t="s">
        <v>178</v>
      </c>
    </row>
    <row r="539" spans="1:88" ht="12.75">
      <c r="A539" s="20"/>
      <c r="B539" s="20"/>
      <c r="C539" s="4" t="str">
        <f>C533</f>
        <v>Debt Reserve</v>
      </c>
      <c r="BX539" s="26">
        <v>0</v>
      </c>
      <c r="BY539" s="26">
        <v>0</v>
      </c>
      <c r="BZ539" s="26">
        <v>0</v>
      </c>
      <c r="CA539" s="26">
        <v>0</v>
      </c>
      <c r="CB539" s="26">
        <v>0</v>
      </c>
      <c r="CC539" s="26">
        <v>0</v>
      </c>
      <c r="CD539" s="26">
        <v>0</v>
      </c>
      <c r="CE539" s="26">
        <v>0</v>
      </c>
      <c r="CF539" s="26">
        <v>0</v>
      </c>
      <c r="CG539" s="26">
        <v>0</v>
      </c>
      <c r="CH539" s="26">
        <v>0</v>
      </c>
      <c r="CI539" s="42">
        <v>0</v>
      </c>
      <c r="CJ539" s="26">
        <f>SUM(BX539:CI539)</f>
        <v>0</v>
      </c>
    </row>
    <row r="540" spans="3:88" ht="12.75">
      <c r="C540" s="4" t="str">
        <f>C534</f>
        <v>Treasury Fee</v>
      </c>
      <c r="BX540" s="48">
        <v>250</v>
      </c>
      <c r="BY540" s="48"/>
      <c r="CB540" s="48"/>
      <c r="CJ540" s="26">
        <f>SUM(BX540:CI540)</f>
        <v>250</v>
      </c>
    </row>
    <row r="541" spans="3:88" ht="13.5" thickBot="1">
      <c r="C541" s="4" t="str">
        <f>C535</f>
        <v>Intercept</v>
      </c>
      <c r="BX541" s="26">
        <f>37161.46+5833.33</f>
        <v>42994.79</v>
      </c>
      <c r="BY541" s="26">
        <f aca="true" t="shared" si="126" ref="BY541:CI541">37161.46+5833.33</f>
        <v>42994.79</v>
      </c>
      <c r="BZ541" s="26">
        <f t="shared" si="126"/>
        <v>42994.79</v>
      </c>
      <c r="CA541" s="26">
        <f t="shared" si="126"/>
        <v>42994.79</v>
      </c>
      <c r="CB541" s="26">
        <f t="shared" si="126"/>
        <v>42994.79</v>
      </c>
      <c r="CC541" s="26">
        <f t="shared" si="126"/>
        <v>42994.79</v>
      </c>
      <c r="CD541" s="26">
        <f t="shared" si="126"/>
        <v>42994.79</v>
      </c>
      <c r="CE541" s="26">
        <f t="shared" si="126"/>
        <v>42994.79</v>
      </c>
      <c r="CF541" s="26">
        <f t="shared" si="126"/>
        <v>42994.79</v>
      </c>
      <c r="CG541" s="26">
        <f t="shared" si="126"/>
        <v>42994.79</v>
      </c>
      <c r="CH541" s="26">
        <f t="shared" si="126"/>
        <v>42994.79</v>
      </c>
      <c r="CI541" s="42">
        <f t="shared" si="126"/>
        <v>42994.79</v>
      </c>
      <c r="CJ541" s="26">
        <f>SUM(BX541:CI541)</f>
        <v>515937.4799999999</v>
      </c>
    </row>
    <row r="542" spans="3:88" ht="13.5" thickBot="1">
      <c r="C542" s="6" t="s">
        <v>124</v>
      </c>
      <c r="BX542" s="27">
        <f aca="true" t="shared" si="127" ref="BX542:CI542">SUM(BX539:BX541)</f>
        <v>43244.79</v>
      </c>
      <c r="BY542" s="27">
        <f t="shared" si="127"/>
        <v>42994.79</v>
      </c>
      <c r="BZ542" s="27">
        <f t="shared" si="127"/>
        <v>42994.79</v>
      </c>
      <c r="CA542" s="27">
        <f t="shared" si="127"/>
        <v>42994.79</v>
      </c>
      <c r="CB542" s="27">
        <f t="shared" si="127"/>
        <v>42994.79</v>
      </c>
      <c r="CC542" s="27">
        <f t="shared" si="127"/>
        <v>42994.79</v>
      </c>
      <c r="CD542" s="27">
        <f t="shared" si="127"/>
        <v>42994.79</v>
      </c>
      <c r="CE542" s="27">
        <f t="shared" si="127"/>
        <v>42994.79</v>
      </c>
      <c r="CF542" s="27">
        <f t="shared" si="127"/>
        <v>42994.79</v>
      </c>
      <c r="CG542" s="27">
        <f t="shared" si="127"/>
        <v>42994.79</v>
      </c>
      <c r="CH542" s="27">
        <f t="shared" si="127"/>
        <v>42994.79</v>
      </c>
      <c r="CI542" s="43">
        <f t="shared" si="127"/>
        <v>42994.79</v>
      </c>
      <c r="CJ542" s="31">
        <f>SUM(CJ539:CJ541)</f>
        <v>516187.4799999999</v>
      </c>
    </row>
    <row r="543" spans="3:88" ht="12.75">
      <c r="C543" s="12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44"/>
      <c r="CJ543" s="28"/>
    </row>
    <row r="544" spans="1:3" ht="21">
      <c r="A544" s="16"/>
      <c r="B544" s="46" t="s">
        <v>105</v>
      </c>
      <c r="C544" s="32" t="s">
        <v>181</v>
      </c>
    </row>
    <row r="545" spans="1:88" ht="12.75">
      <c r="A545" s="20"/>
      <c r="B545" s="20"/>
      <c r="C545" s="4" t="str">
        <f>C539</f>
        <v>Debt Reserve</v>
      </c>
      <c r="BX545" s="26">
        <v>0</v>
      </c>
      <c r="BY545" s="26">
        <v>0</v>
      </c>
      <c r="BZ545" s="26">
        <v>0</v>
      </c>
      <c r="CA545" s="26">
        <v>0</v>
      </c>
      <c r="CB545" s="26">
        <v>0</v>
      </c>
      <c r="CC545" s="26"/>
      <c r="CD545" s="26"/>
      <c r="CE545" s="26"/>
      <c r="CF545" s="26"/>
      <c r="CG545" s="26"/>
      <c r="CH545" s="26"/>
      <c r="CI545" s="42"/>
      <c r="CJ545" s="26">
        <f>SUM(BX545:CI545)</f>
        <v>0</v>
      </c>
    </row>
    <row r="546" spans="3:88" ht="12.75">
      <c r="C546" s="4" t="str">
        <f>C540</f>
        <v>Treasury Fee</v>
      </c>
      <c r="BX546" s="48">
        <v>250</v>
      </c>
      <c r="BY546" s="48"/>
      <c r="CB546" s="48"/>
      <c r="CJ546" s="26">
        <f>SUM(BX546:CI546)</f>
        <v>250</v>
      </c>
    </row>
    <row r="547" spans="3:88" ht="13.5" thickBot="1">
      <c r="C547" s="4" t="str">
        <f>C541</f>
        <v>Intercept</v>
      </c>
      <c r="BX547" s="26">
        <f>17083.33+65276.88</f>
        <v>82360.20999999999</v>
      </c>
      <c r="BY547" s="26">
        <f>17083.33+65276.88</f>
        <v>82360.20999999999</v>
      </c>
      <c r="BZ547" s="26">
        <f>17083.33+65276.88</f>
        <v>82360.20999999999</v>
      </c>
      <c r="CA547" s="26">
        <f>17083.33+65276.88</f>
        <v>82360.20999999999</v>
      </c>
      <c r="CB547" s="26">
        <f>17083.33+65276.85</f>
        <v>82360.18</v>
      </c>
      <c r="CC547" s="26"/>
      <c r="CD547" s="26"/>
      <c r="CE547" s="26"/>
      <c r="CF547" s="26"/>
      <c r="CG547" s="26"/>
      <c r="CH547" s="26"/>
      <c r="CI547" s="42"/>
      <c r="CJ547" s="26">
        <f>SUM(BX547:CI547)</f>
        <v>411801.01999999996</v>
      </c>
    </row>
    <row r="548" spans="3:88" ht="13.5" thickBot="1">
      <c r="C548" s="6" t="s">
        <v>159</v>
      </c>
      <c r="BX548" s="27">
        <f aca="true" t="shared" si="128" ref="BX548:CI548">SUM(BX545:BX547)</f>
        <v>82610.20999999999</v>
      </c>
      <c r="BY548" s="27">
        <f t="shared" si="128"/>
        <v>82360.20999999999</v>
      </c>
      <c r="BZ548" s="27">
        <f t="shared" si="128"/>
        <v>82360.20999999999</v>
      </c>
      <c r="CA548" s="27">
        <f t="shared" si="128"/>
        <v>82360.20999999999</v>
      </c>
      <c r="CB548" s="27">
        <f t="shared" si="128"/>
        <v>82360.18</v>
      </c>
      <c r="CC548" s="27">
        <f t="shared" si="128"/>
        <v>0</v>
      </c>
      <c r="CD548" s="27">
        <f t="shared" si="128"/>
        <v>0</v>
      </c>
      <c r="CE548" s="27">
        <f t="shared" si="128"/>
        <v>0</v>
      </c>
      <c r="CF548" s="27">
        <f t="shared" si="128"/>
        <v>0</v>
      </c>
      <c r="CG548" s="27">
        <f t="shared" si="128"/>
        <v>0</v>
      </c>
      <c r="CH548" s="27">
        <f t="shared" si="128"/>
        <v>0</v>
      </c>
      <c r="CI548" s="43">
        <f t="shared" si="128"/>
        <v>0</v>
      </c>
      <c r="CJ548" s="31">
        <f>SUM(CJ545:CJ547)</f>
        <v>412051.01999999996</v>
      </c>
    </row>
    <row r="549" spans="3:88" ht="12.75">
      <c r="C549" s="12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44"/>
      <c r="CJ549" s="28"/>
    </row>
    <row r="550" spans="1:3" ht="21">
      <c r="A550" s="16">
        <f>+A538+1</f>
        <v>60</v>
      </c>
      <c r="B550" s="21"/>
      <c r="C550" s="39" t="s">
        <v>179</v>
      </c>
    </row>
    <row r="551" spans="1:88" ht="12.75">
      <c r="A551" s="20"/>
      <c r="B551" s="20"/>
      <c r="C551" s="4" t="str">
        <f>C545</f>
        <v>Debt Reserve</v>
      </c>
      <c r="BX551" s="26">
        <v>0</v>
      </c>
      <c r="BY551" s="26">
        <v>0</v>
      </c>
      <c r="BZ551" s="26">
        <v>0</v>
      </c>
      <c r="CA551" s="26">
        <v>0</v>
      </c>
      <c r="CB551" s="26">
        <v>0</v>
      </c>
      <c r="CC551" s="26">
        <v>0</v>
      </c>
      <c r="CD551" s="26">
        <v>0</v>
      </c>
      <c r="CE551" s="26">
        <v>0</v>
      </c>
      <c r="CF551" s="26">
        <v>0</v>
      </c>
      <c r="CG551" s="26">
        <v>0</v>
      </c>
      <c r="CH551" s="26">
        <v>0</v>
      </c>
      <c r="CI551" s="42">
        <v>0</v>
      </c>
      <c r="CJ551" s="26">
        <f>SUM(BX551:CI551)</f>
        <v>0</v>
      </c>
    </row>
    <row r="552" spans="3:88" ht="12.75">
      <c r="C552" s="4" t="str">
        <f>C546</f>
        <v>Treasury Fee</v>
      </c>
      <c r="BX552" s="48">
        <v>250</v>
      </c>
      <c r="BY552" s="48"/>
      <c r="CB552" s="48"/>
      <c r="CJ552" s="26">
        <f>SUM(BX552:CI552)</f>
        <v>250</v>
      </c>
    </row>
    <row r="553" spans="3:88" ht="13.5" thickBot="1">
      <c r="C553" s="4" t="str">
        <f>C547</f>
        <v>Intercept</v>
      </c>
      <c r="BX553" s="26">
        <v>22593.13</v>
      </c>
      <c r="BY553" s="26">
        <v>22593.13</v>
      </c>
      <c r="BZ553" s="26">
        <v>22593.13</v>
      </c>
      <c r="CA553" s="26">
        <v>22593.13</v>
      </c>
      <c r="CB553" s="26">
        <v>22593.13</v>
      </c>
      <c r="CC553" s="26">
        <v>22593.13</v>
      </c>
      <c r="CD553" s="26">
        <v>22593.13</v>
      </c>
      <c r="CE553" s="26">
        <v>22593.13</v>
      </c>
      <c r="CF553" s="26">
        <v>22593.13</v>
      </c>
      <c r="CG553" s="26">
        <v>22593.13</v>
      </c>
      <c r="CH553" s="26">
        <v>22593.13</v>
      </c>
      <c r="CI553" s="42">
        <v>22593.13</v>
      </c>
      <c r="CJ553" s="26">
        <f>SUM(BX553:CI553)</f>
        <v>271117.56</v>
      </c>
    </row>
    <row r="554" spans="3:88" ht="13.5" thickBot="1">
      <c r="C554" s="6" t="s">
        <v>102</v>
      </c>
      <c r="BX554" s="27">
        <f aca="true" t="shared" si="129" ref="BX554:CI554">SUM(BX551:BX553)</f>
        <v>22843.13</v>
      </c>
      <c r="BY554" s="27">
        <f t="shared" si="129"/>
        <v>22593.13</v>
      </c>
      <c r="BZ554" s="27">
        <f t="shared" si="129"/>
        <v>22593.13</v>
      </c>
      <c r="CA554" s="27">
        <f t="shared" si="129"/>
        <v>22593.13</v>
      </c>
      <c r="CB554" s="27">
        <f t="shared" si="129"/>
        <v>22593.13</v>
      </c>
      <c r="CC554" s="27">
        <f t="shared" si="129"/>
        <v>22593.13</v>
      </c>
      <c r="CD554" s="27">
        <f t="shared" si="129"/>
        <v>22593.13</v>
      </c>
      <c r="CE554" s="27">
        <f t="shared" si="129"/>
        <v>22593.13</v>
      </c>
      <c r="CF554" s="27">
        <f t="shared" si="129"/>
        <v>22593.13</v>
      </c>
      <c r="CG554" s="27">
        <f t="shared" si="129"/>
        <v>22593.13</v>
      </c>
      <c r="CH554" s="27">
        <f t="shared" si="129"/>
        <v>22593.13</v>
      </c>
      <c r="CI554" s="43">
        <f t="shared" si="129"/>
        <v>22593.13</v>
      </c>
      <c r="CJ554" s="31">
        <f>SUM(CJ551:CJ553)</f>
        <v>271367.56</v>
      </c>
    </row>
    <row r="555" spans="3:88" ht="12.75">
      <c r="C555" s="12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44"/>
      <c r="CJ555" s="28"/>
    </row>
    <row r="556" spans="1:3" ht="21">
      <c r="A556" s="16">
        <f>+A550+1</f>
        <v>61</v>
      </c>
      <c r="B556" s="21"/>
      <c r="C556" s="5" t="s">
        <v>182</v>
      </c>
    </row>
    <row r="557" spans="1:88" ht="12.75">
      <c r="A557" s="20"/>
      <c r="B557" s="20"/>
      <c r="C557" s="4" t="str">
        <f>C551</f>
        <v>Debt Reserve</v>
      </c>
      <c r="BX557" s="26">
        <v>0</v>
      </c>
      <c r="BY557" s="26">
        <v>0</v>
      </c>
      <c r="BZ557" s="26">
        <v>0</v>
      </c>
      <c r="CA557" s="26">
        <v>0</v>
      </c>
      <c r="CB557" s="26">
        <v>0</v>
      </c>
      <c r="CC557" s="26">
        <v>0</v>
      </c>
      <c r="CD557" s="26">
        <v>0</v>
      </c>
      <c r="CE557" s="26">
        <v>0</v>
      </c>
      <c r="CF557" s="26">
        <v>0</v>
      </c>
      <c r="CG557" s="26">
        <v>0</v>
      </c>
      <c r="CH557" s="26">
        <v>0</v>
      </c>
      <c r="CI557" s="42">
        <v>0</v>
      </c>
      <c r="CJ557" s="26">
        <f>SUM(BX557:CI557)</f>
        <v>0</v>
      </c>
    </row>
    <row r="558" spans="3:88" ht="12.75">
      <c r="C558" s="4" t="str">
        <f>C552</f>
        <v>Treasury Fee</v>
      </c>
      <c r="BX558" s="48">
        <v>250</v>
      </c>
      <c r="BY558" s="48"/>
      <c r="CB558" s="48"/>
      <c r="CJ558" s="26">
        <f>SUM(BX558:CI558)</f>
        <v>250</v>
      </c>
    </row>
    <row r="559" spans="3:88" ht="13.5" thickBot="1">
      <c r="C559" s="4" t="str">
        <f>C553</f>
        <v>Intercept</v>
      </c>
      <c r="BX559" s="26">
        <v>0</v>
      </c>
      <c r="BY559" s="26">
        <v>0</v>
      </c>
      <c r="BZ559" s="26">
        <v>0</v>
      </c>
      <c r="CA559" s="26">
        <v>0</v>
      </c>
      <c r="CB559" s="26">
        <v>0</v>
      </c>
      <c r="CC559" s="26">
        <v>0</v>
      </c>
      <c r="CD559" s="26">
        <v>0</v>
      </c>
      <c r="CE559" s="26">
        <v>0</v>
      </c>
      <c r="CF559" s="26">
        <v>0</v>
      </c>
      <c r="CG559" s="26">
        <v>0</v>
      </c>
      <c r="CH559" s="26">
        <v>0</v>
      </c>
      <c r="CI559" s="42">
        <v>0</v>
      </c>
      <c r="CJ559" s="26">
        <f>SUM(BX559:CI559)</f>
        <v>0</v>
      </c>
    </row>
    <row r="560" spans="3:88" ht="13.5" thickBot="1">
      <c r="C560" s="6" t="s">
        <v>183</v>
      </c>
      <c r="BX560" s="27">
        <f aca="true" t="shared" si="130" ref="BX560:CI560">SUM(BX557:BX559)</f>
        <v>250</v>
      </c>
      <c r="BY560" s="27">
        <f t="shared" si="130"/>
        <v>0</v>
      </c>
      <c r="BZ560" s="27">
        <f t="shared" si="130"/>
        <v>0</v>
      </c>
      <c r="CA560" s="27">
        <f t="shared" si="130"/>
        <v>0</v>
      </c>
      <c r="CB560" s="27">
        <f t="shared" si="130"/>
        <v>0</v>
      </c>
      <c r="CC560" s="27">
        <f t="shared" si="130"/>
        <v>0</v>
      </c>
      <c r="CD560" s="27">
        <f t="shared" si="130"/>
        <v>0</v>
      </c>
      <c r="CE560" s="27">
        <f t="shared" si="130"/>
        <v>0</v>
      </c>
      <c r="CF560" s="27">
        <f t="shared" si="130"/>
        <v>0</v>
      </c>
      <c r="CG560" s="27">
        <f t="shared" si="130"/>
        <v>0</v>
      </c>
      <c r="CH560" s="27">
        <f t="shared" si="130"/>
        <v>0</v>
      </c>
      <c r="CI560" s="43">
        <f t="shared" si="130"/>
        <v>0</v>
      </c>
      <c r="CJ560" s="31">
        <f>SUM(CJ557:CJ559)</f>
        <v>250</v>
      </c>
    </row>
    <row r="561" spans="3:88" ht="12.75">
      <c r="C561" s="12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44"/>
      <c r="CJ561" s="28"/>
    </row>
    <row r="562" spans="1:3" ht="21">
      <c r="A562" s="16">
        <f>+A556+1</f>
        <v>62</v>
      </c>
      <c r="B562" s="21"/>
      <c r="C562" s="5" t="s">
        <v>184</v>
      </c>
    </row>
    <row r="563" spans="1:88" ht="12.75">
      <c r="A563" s="20"/>
      <c r="B563" s="20"/>
      <c r="C563" s="4" t="str">
        <f>C557</f>
        <v>Debt Reserve</v>
      </c>
      <c r="BX563" s="26">
        <v>0</v>
      </c>
      <c r="BY563" s="26">
        <v>0</v>
      </c>
      <c r="BZ563" s="26">
        <v>0</v>
      </c>
      <c r="CA563" s="26">
        <v>0</v>
      </c>
      <c r="CB563" s="26">
        <v>0</v>
      </c>
      <c r="CC563" s="26">
        <v>0</v>
      </c>
      <c r="CD563" s="26">
        <v>0</v>
      </c>
      <c r="CE563" s="26">
        <v>0</v>
      </c>
      <c r="CF563" s="26">
        <v>0</v>
      </c>
      <c r="CG563" s="26">
        <v>0</v>
      </c>
      <c r="CH563" s="26">
        <v>0</v>
      </c>
      <c r="CI563" s="42">
        <v>0</v>
      </c>
      <c r="CJ563" s="26">
        <f>SUM(BX563:CI563)</f>
        <v>0</v>
      </c>
    </row>
    <row r="564" spans="3:88" ht="12.75">
      <c r="C564" s="4" t="str">
        <f>C558</f>
        <v>Treasury Fee</v>
      </c>
      <c r="BX564" s="48">
        <v>250</v>
      </c>
      <c r="BY564" s="48"/>
      <c r="CB564" s="48"/>
      <c r="CJ564" s="26">
        <f>SUM(BX564:CI564)</f>
        <v>250</v>
      </c>
    </row>
    <row r="565" spans="3:88" ht="13.5" thickBot="1">
      <c r="C565" s="4" t="str">
        <f>C559</f>
        <v>Intercept</v>
      </c>
      <c r="BX565" s="26">
        <v>0</v>
      </c>
      <c r="BY565" s="26">
        <v>0</v>
      </c>
      <c r="BZ565" s="26">
        <v>16250</v>
      </c>
      <c r="CA565" s="26">
        <v>16250</v>
      </c>
      <c r="CB565" s="26">
        <f>16250+99757.71</f>
        <v>116007.71</v>
      </c>
      <c r="CC565" s="26">
        <f>16250+182802.61</f>
        <v>199052.61</v>
      </c>
      <c r="CD565" s="26">
        <f aca="true" t="shared" si="131" ref="CD565:CJ565">16250+182802.61</f>
        <v>199052.61</v>
      </c>
      <c r="CE565" s="26">
        <f t="shared" si="131"/>
        <v>199052.61</v>
      </c>
      <c r="CF565" s="26">
        <f t="shared" si="131"/>
        <v>199052.61</v>
      </c>
      <c r="CG565" s="26">
        <f t="shared" si="131"/>
        <v>199052.61</v>
      </c>
      <c r="CH565" s="26">
        <f t="shared" si="131"/>
        <v>199052.61</v>
      </c>
      <c r="CI565" s="42">
        <f t="shared" si="131"/>
        <v>199052.61</v>
      </c>
      <c r="CJ565" s="26">
        <f>SUM(BX565:CI565)</f>
        <v>1541875.9799999995</v>
      </c>
    </row>
    <row r="566" spans="3:88" ht="13.5" thickBot="1">
      <c r="C566" s="6" t="s">
        <v>185</v>
      </c>
      <c r="BX566" s="27">
        <f aca="true" t="shared" si="132" ref="BX566:CI566">SUM(BX563:BX565)</f>
        <v>250</v>
      </c>
      <c r="BY566" s="27">
        <f t="shared" si="132"/>
        <v>0</v>
      </c>
      <c r="BZ566" s="27">
        <f t="shared" si="132"/>
        <v>16250</v>
      </c>
      <c r="CA566" s="27">
        <f t="shared" si="132"/>
        <v>16250</v>
      </c>
      <c r="CB566" s="27">
        <f t="shared" si="132"/>
        <v>116007.71</v>
      </c>
      <c r="CC566" s="27">
        <f t="shared" si="132"/>
        <v>199052.61</v>
      </c>
      <c r="CD566" s="27">
        <f t="shared" si="132"/>
        <v>199052.61</v>
      </c>
      <c r="CE566" s="27">
        <f t="shared" si="132"/>
        <v>199052.61</v>
      </c>
      <c r="CF566" s="27">
        <f t="shared" si="132"/>
        <v>199052.61</v>
      </c>
      <c r="CG566" s="27">
        <f t="shared" si="132"/>
        <v>199052.61</v>
      </c>
      <c r="CH566" s="27">
        <f t="shared" si="132"/>
        <v>199052.61</v>
      </c>
      <c r="CI566" s="43">
        <f t="shared" si="132"/>
        <v>199052.61</v>
      </c>
      <c r="CJ566" s="31">
        <f>SUM(CJ563:CJ565)</f>
        <v>1542125.9799999995</v>
      </c>
    </row>
    <row r="567" spans="3:88" ht="12.75">
      <c r="C567" s="12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44"/>
      <c r="CJ567" s="28"/>
    </row>
    <row r="568" spans="1:3" ht="21">
      <c r="A568" s="16">
        <f>+A562+1</f>
        <v>63</v>
      </c>
      <c r="B568" s="21"/>
      <c r="C568" s="5" t="s">
        <v>186</v>
      </c>
    </row>
    <row r="569" spans="1:88" ht="12.75">
      <c r="A569" s="20"/>
      <c r="B569" s="20"/>
      <c r="C569" s="4" t="str">
        <f>C563</f>
        <v>Debt Reserve</v>
      </c>
      <c r="BX569" s="26">
        <v>0</v>
      </c>
      <c r="BY569" s="26">
        <v>0</v>
      </c>
      <c r="BZ569" s="26">
        <v>0</v>
      </c>
      <c r="CA569" s="26">
        <v>0</v>
      </c>
      <c r="CB569" s="26">
        <v>0</v>
      </c>
      <c r="CC569" s="26">
        <v>0</v>
      </c>
      <c r="CD569" s="26">
        <v>0</v>
      </c>
      <c r="CE569" s="26">
        <v>0</v>
      </c>
      <c r="CF569" s="26">
        <v>0</v>
      </c>
      <c r="CG569" s="26">
        <v>0</v>
      </c>
      <c r="CH569" s="26">
        <v>0</v>
      </c>
      <c r="CI569" s="42">
        <v>0</v>
      </c>
      <c r="CJ569" s="26">
        <f>SUM(BX569:CI569)</f>
        <v>0</v>
      </c>
    </row>
    <row r="570" spans="3:88" ht="12.75">
      <c r="C570" s="4" t="str">
        <f>C564</f>
        <v>Treasury Fee</v>
      </c>
      <c r="BX570" s="48">
        <v>250</v>
      </c>
      <c r="BY570" s="48"/>
      <c r="CB570" s="48"/>
      <c r="CJ570" s="26">
        <f>SUM(BX570:CI570)</f>
        <v>250</v>
      </c>
    </row>
    <row r="571" spans="3:88" ht="13.5" thickBot="1">
      <c r="C571" s="4" t="str">
        <f>C565</f>
        <v>Intercept</v>
      </c>
      <c r="BX571" s="26">
        <f aca="true" t="shared" si="133" ref="BX571:CF571">2916.67+22760.42</f>
        <v>25677.089999999997</v>
      </c>
      <c r="BY571" s="26">
        <f t="shared" si="133"/>
        <v>25677.089999999997</v>
      </c>
      <c r="BZ571" s="26">
        <f t="shared" si="133"/>
        <v>25677.089999999997</v>
      </c>
      <c r="CA571" s="26">
        <f>2916.67+22760.4</f>
        <v>25677.07</v>
      </c>
      <c r="CB571" s="26">
        <f t="shared" si="133"/>
        <v>25677.089999999997</v>
      </c>
      <c r="CC571" s="26">
        <f t="shared" si="133"/>
        <v>25677.089999999997</v>
      </c>
      <c r="CD571" s="26">
        <f t="shared" si="133"/>
        <v>25677.089999999997</v>
      </c>
      <c r="CE571" s="26">
        <f t="shared" si="133"/>
        <v>25677.089999999997</v>
      </c>
      <c r="CF571" s="26">
        <f t="shared" si="133"/>
        <v>25677.089999999997</v>
      </c>
      <c r="CG571" s="26">
        <f>2916.63+22760.4</f>
        <v>25677.030000000002</v>
      </c>
      <c r="CH571" s="26">
        <f>5000+22592.71</f>
        <v>27592.71</v>
      </c>
      <c r="CI571" s="42">
        <f>5000+22592.71</f>
        <v>27592.71</v>
      </c>
      <c r="CJ571" s="26">
        <f>SUM(BX571:CI571)</f>
        <v>311956.24</v>
      </c>
    </row>
    <row r="572" spans="3:88" ht="13.5" thickBot="1">
      <c r="C572" s="6" t="s">
        <v>187</v>
      </c>
      <c r="BX572" s="27">
        <f aca="true" t="shared" si="134" ref="BX572:CI572">SUM(BX569:BX571)</f>
        <v>25927.089999999997</v>
      </c>
      <c r="BY572" s="27">
        <f t="shared" si="134"/>
        <v>25677.089999999997</v>
      </c>
      <c r="BZ572" s="27">
        <f t="shared" si="134"/>
        <v>25677.089999999997</v>
      </c>
      <c r="CA572" s="27">
        <f t="shared" si="134"/>
        <v>25677.07</v>
      </c>
      <c r="CB572" s="27">
        <f t="shared" si="134"/>
        <v>25677.089999999997</v>
      </c>
      <c r="CC572" s="27">
        <f t="shared" si="134"/>
        <v>25677.089999999997</v>
      </c>
      <c r="CD572" s="27">
        <f t="shared" si="134"/>
        <v>25677.089999999997</v>
      </c>
      <c r="CE572" s="27">
        <f t="shared" si="134"/>
        <v>25677.089999999997</v>
      </c>
      <c r="CF572" s="27">
        <f t="shared" si="134"/>
        <v>25677.089999999997</v>
      </c>
      <c r="CG572" s="27">
        <f t="shared" si="134"/>
        <v>25677.030000000002</v>
      </c>
      <c r="CH572" s="27">
        <f t="shared" si="134"/>
        <v>27592.71</v>
      </c>
      <c r="CI572" s="43">
        <f t="shared" si="134"/>
        <v>27592.71</v>
      </c>
      <c r="CJ572" s="31">
        <f>SUM(CJ569:CJ571)</f>
        <v>312206.24</v>
      </c>
    </row>
    <row r="573" spans="3:88" ht="12.75">
      <c r="C573" s="12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44"/>
      <c r="CJ573" s="28"/>
    </row>
    <row r="574" spans="1:88" ht="21">
      <c r="A574" s="16">
        <f>+A568+1</f>
        <v>64</v>
      </c>
      <c r="B574" s="21"/>
      <c r="C574" s="5" t="s">
        <v>188</v>
      </c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44"/>
      <c r="CJ574" s="28"/>
    </row>
    <row r="575" spans="1:88" ht="12.75">
      <c r="A575" s="20"/>
      <c r="B575" s="20"/>
      <c r="C575" s="4" t="str">
        <f>C569</f>
        <v>Debt Reserve</v>
      </c>
      <c r="BX575" s="26">
        <v>1683.33</v>
      </c>
      <c r="BY575" s="26">
        <v>1683.33</v>
      </c>
      <c r="BZ575" s="26">
        <v>1683.33</v>
      </c>
      <c r="CA575" s="26">
        <v>1683.33</v>
      </c>
      <c r="CB575" s="26">
        <v>1683.33</v>
      </c>
      <c r="CC575" s="26">
        <v>1683.33</v>
      </c>
      <c r="CD575" s="26">
        <v>1683.33</v>
      </c>
      <c r="CE575" s="26">
        <v>1244.58</v>
      </c>
      <c r="CF575" s="26">
        <v>1244.58</v>
      </c>
      <c r="CG575" s="26">
        <v>1244.58</v>
      </c>
      <c r="CH575" s="26">
        <v>1244.58</v>
      </c>
      <c r="CI575" s="42">
        <v>1244.58</v>
      </c>
      <c r="CJ575" s="26">
        <f>SUM(BX575:CI575)</f>
        <v>18006.21</v>
      </c>
    </row>
    <row r="576" spans="3:88" ht="12.75">
      <c r="C576" s="4" t="str">
        <f>C570</f>
        <v>Treasury Fee</v>
      </c>
      <c r="BX576" s="48">
        <v>250</v>
      </c>
      <c r="BY576" s="48"/>
      <c r="CB576" s="48"/>
      <c r="CJ576" s="26">
        <f>SUM(BX576:CI576)</f>
        <v>250</v>
      </c>
    </row>
    <row r="577" spans="3:88" ht="13.5" thickBot="1">
      <c r="C577" s="4" t="str">
        <f>C571</f>
        <v>Intercept</v>
      </c>
      <c r="BX577" s="26">
        <f>26111.11+65125.52</f>
        <v>91236.63</v>
      </c>
      <c r="BY577" s="26">
        <f>26111.11+65125.52</f>
        <v>91236.63</v>
      </c>
      <c r="BZ577" s="26">
        <f>26111.11+65125.52</f>
        <v>91236.63</v>
      </c>
      <c r="CA577" s="26">
        <f>26111.11+65125.52</f>
        <v>91236.63</v>
      </c>
      <c r="CB577" s="26">
        <f>26111.11+65125.52</f>
        <v>91236.63</v>
      </c>
      <c r="CC577" s="26">
        <f>26111.12+65125.53</f>
        <v>91236.65</v>
      </c>
      <c r="CD577" s="26">
        <f>25416.67+64494.27</f>
        <v>89910.94</v>
      </c>
      <c r="CE577" s="26">
        <f>25416.67+64494.27</f>
        <v>89910.94</v>
      </c>
      <c r="CF577" s="26">
        <f>25416.67+64494.27</f>
        <v>89910.94</v>
      </c>
      <c r="CG577" s="26">
        <f>25416.67+64494.27</f>
        <v>89910.94</v>
      </c>
      <c r="CH577" s="26">
        <f>25416.67+64494.27</f>
        <v>89910.94</v>
      </c>
      <c r="CI577" s="42">
        <f>25416.67+64494.28</f>
        <v>89910.95</v>
      </c>
      <c r="CJ577" s="26">
        <f>SUM(BX577:CI577)</f>
        <v>1086885.4499999997</v>
      </c>
    </row>
    <row r="578" spans="3:88" ht="13.5" thickBot="1">
      <c r="C578" s="6" t="s">
        <v>189</v>
      </c>
      <c r="BX578" s="27">
        <f aca="true" t="shared" si="135" ref="BX578:CJ578">SUM(BX575:BX577)</f>
        <v>93169.96</v>
      </c>
      <c r="BY578" s="27">
        <f t="shared" si="135"/>
        <v>92919.96</v>
      </c>
      <c r="BZ578" s="27">
        <f t="shared" si="135"/>
        <v>92919.96</v>
      </c>
      <c r="CA578" s="27">
        <f t="shared" si="135"/>
        <v>92919.96</v>
      </c>
      <c r="CB578" s="27">
        <f t="shared" si="135"/>
        <v>92919.96</v>
      </c>
      <c r="CC578" s="27">
        <f t="shared" si="135"/>
        <v>92919.98</v>
      </c>
      <c r="CD578" s="27">
        <f t="shared" si="135"/>
        <v>91594.27</v>
      </c>
      <c r="CE578" s="27">
        <f t="shared" si="135"/>
        <v>91155.52</v>
      </c>
      <c r="CF578" s="27">
        <f t="shared" si="135"/>
        <v>91155.52</v>
      </c>
      <c r="CG578" s="27">
        <f t="shared" si="135"/>
        <v>91155.52</v>
      </c>
      <c r="CH578" s="27">
        <f t="shared" si="135"/>
        <v>91155.52</v>
      </c>
      <c r="CI578" s="43">
        <f t="shared" si="135"/>
        <v>91155.53</v>
      </c>
      <c r="CJ578" s="31">
        <f>SUM(CJ575:CJ577)</f>
        <v>1105141.6599999997</v>
      </c>
    </row>
    <row r="579" spans="3:88" ht="12.75">
      <c r="C579" s="12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44"/>
      <c r="CJ579" s="28"/>
    </row>
    <row r="580" spans="1:88" ht="21">
      <c r="A580" s="16">
        <f>+A574+1</f>
        <v>65</v>
      </c>
      <c r="B580" s="21"/>
      <c r="C580" s="5" t="s">
        <v>190</v>
      </c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44"/>
      <c r="CJ580" s="28"/>
    </row>
    <row r="581" spans="1:88" ht="12.75">
      <c r="A581" s="20"/>
      <c r="B581" s="20"/>
      <c r="C581" s="4" t="str">
        <f>C575</f>
        <v>Debt Reserve</v>
      </c>
      <c r="BX581" s="26">
        <v>0</v>
      </c>
      <c r="BY581" s="26">
        <v>0</v>
      </c>
      <c r="BZ581" s="26">
        <v>0</v>
      </c>
      <c r="CA581" s="26">
        <v>0</v>
      </c>
      <c r="CB581" s="26">
        <v>0</v>
      </c>
      <c r="CC581" s="26">
        <v>0</v>
      </c>
      <c r="CD581" s="26">
        <v>0</v>
      </c>
      <c r="CE581" s="26">
        <v>0</v>
      </c>
      <c r="CF581" s="26">
        <v>0</v>
      </c>
      <c r="CG581" s="26">
        <v>0</v>
      </c>
      <c r="CH581" s="26">
        <v>0</v>
      </c>
      <c r="CI581" s="42">
        <v>0</v>
      </c>
      <c r="CJ581" s="26">
        <f>SUM(BX581:CI581)</f>
        <v>0</v>
      </c>
    </row>
    <row r="582" spans="3:88" ht="12.75">
      <c r="C582" s="4" t="str">
        <f>C576</f>
        <v>Treasury Fee</v>
      </c>
      <c r="BX582" s="48">
        <v>250</v>
      </c>
      <c r="BY582" s="48"/>
      <c r="CB582" s="48"/>
      <c r="CJ582" s="26">
        <f>SUM(BX582:CI582)</f>
        <v>250</v>
      </c>
    </row>
    <row r="583" spans="3:88" ht="13.5" thickBot="1">
      <c r="C583" s="4" t="str">
        <f>C577</f>
        <v>Intercept</v>
      </c>
      <c r="BX583" s="26">
        <f>5984.97+33339.52</f>
        <v>39324.49</v>
      </c>
      <c r="BY583" s="26">
        <f>17118.13+22206.4</f>
        <v>39324.53</v>
      </c>
      <c r="BZ583" s="26">
        <f>17118.13+22206.4</f>
        <v>39324.53</v>
      </c>
      <c r="CA583" s="26">
        <f>17118.13+22206.4</f>
        <v>39324.53</v>
      </c>
      <c r="CB583" s="26">
        <f>17118.13+22206.4</f>
        <v>39324.53</v>
      </c>
      <c r="CC583" s="26">
        <f>17118.13+22206.4</f>
        <v>39324.53</v>
      </c>
      <c r="CD583" s="26">
        <f>17118.11+22206.38</f>
        <v>39324.490000000005</v>
      </c>
      <c r="CE583" s="26">
        <f>17460.49+21864.04</f>
        <v>39324.53</v>
      </c>
      <c r="CF583" s="26">
        <f>17460.49+21864.04</f>
        <v>39324.53</v>
      </c>
      <c r="CG583" s="26">
        <f>17460.49+21864.04</f>
        <v>39324.53</v>
      </c>
      <c r="CH583" s="26">
        <f>17460.49+21864.04</f>
        <v>39324.53</v>
      </c>
      <c r="CI583" s="42">
        <f>17460.49+21864.04</f>
        <v>39324.53</v>
      </c>
      <c r="CJ583" s="26">
        <f>SUM(BX583:CI583)</f>
        <v>471894.28000000014</v>
      </c>
    </row>
    <row r="584" spans="3:88" ht="13.5" thickBot="1">
      <c r="C584" s="6" t="s">
        <v>191</v>
      </c>
      <c r="BX584" s="27">
        <f aca="true" t="shared" si="136" ref="BX584:CJ584">SUM(BX581:BX583)</f>
        <v>39574.49</v>
      </c>
      <c r="BY584" s="27">
        <f t="shared" si="136"/>
        <v>39324.53</v>
      </c>
      <c r="BZ584" s="27">
        <f t="shared" si="136"/>
        <v>39324.53</v>
      </c>
      <c r="CA584" s="27">
        <f t="shared" si="136"/>
        <v>39324.53</v>
      </c>
      <c r="CB584" s="27">
        <f t="shared" si="136"/>
        <v>39324.53</v>
      </c>
      <c r="CC584" s="27">
        <f t="shared" si="136"/>
        <v>39324.53</v>
      </c>
      <c r="CD584" s="27">
        <f t="shared" si="136"/>
        <v>39324.490000000005</v>
      </c>
      <c r="CE584" s="27">
        <f t="shared" si="136"/>
        <v>39324.53</v>
      </c>
      <c r="CF584" s="27">
        <f t="shared" si="136"/>
        <v>39324.53</v>
      </c>
      <c r="CG584" s="27">
        <f t="shared" si="136"/>
        <v>39324.53</v>
      </c>
      <c r="CH584" s="27">
        <f t="shared" si="136"/>
        <v>39324.53</v>
      </c>
      <c r="CI584" s="43">
        <f t="shared" si="136"/>
        <v>39324.53</v>
      </c>
      <c r="CJ584" s="31">
        <f>SUM(CJ581:CJ583)</f>
        <v>472144.28000000014</v>
      </c>
    </row>
    <row r="585" spans="3:88" ht="12.75">
      <c r="C585" s="12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44"/>
      <c r="CJ585" s="28"/>
    </row>
    <row r="586" spans="1:88" ht="21">
      <c r="A586" s="16">
        <f>+A580+1</f>
        <v>66</v>
      </c>
      <c r="B586" s="21"/>
      <c r="C586" s="5" t="s">
        <v>193</v>
      </c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44"/>
      <c r="CJ586" s="28"/>
    </row>
    <row r="587" spans="1:88" ht="12.75">
      <c r="A587" s="20"/>
      <c r="B587" s="20"/>
      <c r="C587" s="4" t="str">
        <f>C581</f>
        <v>Debt Reserve</v>
      </c>
      <c r="BX587" s="26">
        <v>0</v>
      </c>
      <c r="BY587" s="26">
        <v>0</v>
      </c>
      <c r="BZ587" s="26">
        <v>0</v>
      </c>
      <c r="CA587" s="26">
        <v>0</v>
      </c>
      <c r="CB587" s="26">
        <v>0</v>
      </c>
      <c r="CC587" s="26">
        <v>0</v>
      </c>
      <c r="CD587" s="26">
        <v>0</v>
      </c>
      <c r="CE587" s="26">
        <v>0</v>
      </c>
      <c r="CF587" s="26">
        <v>0</v>
      </c>
      <c r="CG587" s="26">
        <v>0</v>
      </c>
      <c r="CH587" s="26">
        <v>0</v>
      </c>
      <c r="CI587" s="42">
        <v>0</v>
      </c>
      <c r="CJ587" s="26">
        <f>SUM(BX587:CI587)</f>
        <v>0</v>
      </c>
    </row>
    <row r="588" spans="3:88" ht="12.75">
      <c r="C588" s="4" t="str">
        <f>C582</f>
        <v>Treasury Fee</v>
      </c>
      <c r="BX588" s="48"/>
      <c r="BY588" s="48">
        <v>229.17</v>
      </c>
      <c r="CB588" s="48"/>
      <c r="CJ588" s="26">
        <f>SUM(BX588:CI588)</f>
        <v>229.17</v>
      </c>
    </row>
    <row r="589" spans="3:88" ht="13.5" thickBot="1">
      <c r="C589" s="4" t="str">
        <f>C583</f>
        <v>Intercept</v>
      </c>
      <c r="BX589" s="26">
        <v>0</v>
      </c>
      <c r="BY589" s="26">
        <f>3333.33+24860.44</f>
        <v>28193.769999999997</v>
      </c>
      <c r="BZ589" s="26">
        <f>3333.33+24860.44</f>
        <v>28193.769999999997</v>
      </c>
      <c r="CA589" s="26">
        <f>3333.34+24860.45</f>
        <v>28193.79</v>
      </c>
      <c r="CB589" s="26">
        <f>4166.67+17432.5</f>
        <v>21599.17</v>
      </c>
      <c r="CC589" s="26">
        <f aca="true" t="shared" si="137" ref="CC589:CJ589">4166.67+17432.5</f>
        <v>21599.17</v>
      </c>
      <c r="CD589" s="26">
        <f t="shared" si="137"/>
        <v>21599.17</v>
      </c>
      <c r="CE589" s="26">
        <f t="shared" si="137"/>
        <v>21599.17</v>
      </c>
      <c r="CF589" s="26">
        <f t="shared" si="137"/>
        <v>21599.17</v>
      </c>
      <c r="CG589" s="26">
        <f t="shared" si="137"/>
        <v>21599.17</v>
      </c>
      <c r="CH589" s="26">
        <f t="shared" si="137"/>
        <v>21599.17</v>
      </c>
      <c r="CI589" s="42">
        <f t="shared" si="137"/>
        <v>21599.17</v>
      </c>
      <c r="CJ589" s="26">
        <f>SUM(BX589:CI589)</f>
        <v>257374.6899999999</v>
      </c>
    </row>
    <row r="590" spans="3:88" ht="13.5" thickBot="1">
      <c r="C590" s="6" t="s">
        <v>194</v>
      </c>
      <c r="BX590" s="27">
        <f aca="true" t="shared" si="138" ref="BX590:CJ590">SUM(BX587:BX589)</f>
        <v>0</v>
      </c>
      <c r="BY590" s="27">
        <f t="shared" si="138"/>
        <v>28422.939999999995</v>
      </c>
      <c r="BZ590" s="27">
        <f t="shared" si="138"/>
        <v>28193.769999999997</v>
      </c>
      <c r="CA590" s="27">
        <f t="shared" si="138"/>
        <v>28193.79</v>
      </c>
      <c r="CB590" s="27">
        <f t="shared" si="138"/>
        <v>21599.17</v>
      </c>
      <c r="CC590" s="27">
        <f t="shared" si="138"/>
        <v>21599.17</v>
      </c>
      <c r="CD590" s="27">
        <f t="shared" si="138"/>
        <v>21599.17</v>
      </c>
      <c r="CE590" s="27">
        <f t="shared" si="138"/>
        <v>21599.17</v>
      </c>
      <c r="CF590" s="27">
        <f t="shared" si="138"/>
        <v>21599.17</v>
      </c>
      <c r="CG590" s="27">
        <f t="shared" si="138"/>
        <v>21599.17</v>
      </c>
      <c r="CH590" s="27">
        <f t="shared" si="138"/>
        <v>21599.17</v>
      </c>
      <c r="CI590" s="43">
        <f t="shared" si="138"/>
        <v>21599.17</v>
      </c>
      <c r="CJ590" s="31">
        <f>SUM(CJ587:CJ589)</f>
        <v>257603.8599999999</v>
      </c>
    </row>
    <row r="591" spans="3:88" ht="12.75">
      <c r="C591" s="12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44"/>
      <c r="CJ591" s="28"/>
    </row>
    <row r="592" spans="1:88" ht="21">
      <c r="A592" s="16">
        <f>+A586+1</f>
        <v>67</v>
      </c>
      <c r="B592" s="21"/>
      <c r="C592" s="5" t="s">
        <v>195</v>
      </c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44"/>
      <c r="CJ592" s="28"/>
    </row>
    <row r="593" spans="1:88" ht="12.75">
      <c r="A593" s="20"/>
      <c r="B593" s="20"/>
      <c r="C593" s="4" t="str">
        <f>C587</f>
        <v>Debt Reserve</v>
      </c>
      <c r="BX593" s="26">
        <v>0</v>
      </c>
      <c r="BY593" s="26">
        <v>0</v>
      </c>
      <c r="BZ593" s="26">
        <v>0</v>
      </c>
      <c r="CA593" s="26">
        <v>0</v>
      </c>
      <c r="CB593" s="26">
        <v>0</v>
      </c>
      <c r="CC593" s="26">
        <v>0</v>
      </c>
      <c r="CD593" s="26">
        <v>0</v>
      </c>
      <c r="CE593" s="26">
        <v>0</v>
      </c>
      <c r="CF593" s="26">
        <v>0</v>
      </c>
      <c r="CG593" s="26">
        <v>0</v>
      </c>
      <c r="CH593" s="26">
        <v>0</v>
      </c>
      <c r="CI593" s="42">
        <v>0</v>
      </c>
      <c r="CJ593" s="26">
        <f>SUM(BX593:CI593)</f>
        <v>0</v>
      </c>
    </row>
    <row r="594" spans="3:88" ht="12.75">
      <c r="C594" s="4" t="str">
        <f>C588</f>
        <v>Treasury Fee</v>
      </c>
      <c r="BX594" s="48"/>
      <c r="BY594" s="48">
        <v>229.17</v>
      </c>
      <c r="CB594" s="48"/>
      <c r="CJ594" s="26">
        <f>SUM(BX594:CI594)</f>
        <v>229.17</v>
      </c>
    </row>
    <row r="595" spans="3:88" ht="13.5" thickBot="1">
      <c r="C595" s="4" t="str">
        <f>C589</f>
        <v>Intercept</v>
      </c>
      <c r="BX595" s="26">
        <v>0</v>
      </c>
      <c r="BY595" s="26">
        <v>181751.69</v>
      </c>
      <c r="BZ595" s="26">
        <v>181751.69</v>
      </c>
      <c r="CA595" s="26">
        <v>181751.69</v>
      </c>
      <c r="CB595" s="26">
        <v>126257.29</v>
      </c>
      <c r="CC595" s="26">
        <v>126257.29</v>
      </c>
      <c r="CD595" s="26">
        <v>126257.29</v>
      </c>
      <c r="CE595" s="26">
        <v>126257.29</v>
      </c>
      <c r="CF595" s="26">
        <v>126257.29</v>
      </c>
      <c r="CG595" s="26">
        <v>126257.29</v>
      </c>
      <c r="CH595" s="26">
        <v>126257.29</v>
      </c>
      <c r="CI595" s="42">
        <v>126257.29</v>
      </c>
      <c r="CJ595" s="26">
        <f>SUM(BX595:CI595)</f>
        <v>1555313.3900000004</v>
      </c>
    </row>
    <row r="596" spans="3:88" ht="13.5" thickBot="1">
      <c r="C596" s="6" t="s">
        <v>161</v>
      </c>
      <c r="BX596" s="27">
        <f aca="true" t="shared" si="139" ref="BX596:CJ596">SUM(BX593:BX595)</f>
        <v>0</v>
      </c>
      <c r="BY596" s="27">
        <f t="shared" si="139"/>
        <v>181980.86000000002</v>
      </c>
      <c r="BZ596" s="27">
        <f t="shared" si="139"/>
        <v>181751.69</v>
      </c>
      <c r="CA596" s="27">
        <f t="shared" si="139"/>
        <v>181751.69</v>
      </c>
      <c r="CB596" s="27">
        <f t="shared" si="139"/>
        <v>126257.29</v>
      </c>
      <c r="CC596" s="27">
        <f t="shared" si="139"/>
        <v>126257.29</v>
      </c>
      <c r="CD596" s="27">
        <f t="shared" si="139"/>
        <v>126257.29</v>
      </c>
      <c r="CE596" s="27">
        <f t="shared" si="139"/>
        <v>126257.29</v>
      </c>
      <c r="CF596" s="27">
        <f t="shared" si="139"/>
        <v>126257.29</v>
      </c>
      <c r="CG596" s="27">
        <f t="shared" si="139"/>
        <v>126257.29</v>
      </c>
      <c r="CH596" s="27">
        <f t="shared" si="139"/>
        <v>126257.29</v>
      </c>
      <c r="CI596" s="43">
        <f t="shared" si="139"/>
        <v>126257.29</v>
      </c>
      <c r="CJ596" s="31">
        <f>SUM(CJ593:CJ595)</f>
        <v>1555542.5600000003</v>
      </c>
    </row>
    <row r="597" spans="3:88" ht="12.75">
      <c r="C597" s="12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44"/>
      <c r="CJ597" s="28"/>
    </row>
    <row r="598" spans="1:88" ht="21">
      <c r="A598" s="16">
        <f>+A592+1</f>
        <v>68</v>
      </c>
      <c r="B598" s="21"/>
      <c r="C598" s="5" t="s">
        <v>196</v>
      </c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44"/>
      <c r="CJ598" s="28"/>
    </row>
    <row r="599" spans="1:88" ht="12.75">
      <c r="A599" s="20"/>
      <c r="B599" s="20"/>
      <c r="C599" s="4" t="str">
        <f>C593</f>
        <v>Debt Reserve</v>
      </c>
      <c r="BX599" s="26">
        <v>0</v>
      </c>
      <c r="BY599" s="26">
        <v>358.33</v>
      </c>
      <c r="BZ599" s="26">
        <v>358.33</v>
      </c>
      <c r="CA599" s="26">
        <v>358.33</v>
      </c>
      <c r="CB599" s="26">
        <v>358.33</v>
      </c>
      <c r="CC599" s="26">
        <v>358.33</v>
      </c>
      <c r="CD599" s="26">
        <v>358.33</v>
      </c>
      <c r="CE599" s="26">
        <v>358.33</v>
      </c>
      <c r="CF599" s="26">
        <v>358.33</v>
      </c>
      <c r="CG599" s="26">
        <v>358.33</v>
      </c>
      <c r="CH599" s="26">
        <v>358.33</v>
      </c>
      <c r="CI599" s="42">
        <v>358.33</v>
      </c>
      <c r="CJ599" s="26">
        <f>SUM(BX599:CI599)</f>
        <v>3941.6299999999997</v>
      </c>
    </row>
    <row r="600" spans="3:88" ht="12.75">
      <c r="C600" s="4" t="str">
        <f>C594</f>
        <v>Treasury Fee</v>
      </c>
      <c r="BX600" s="48"/>
      <c r="BY600" s="48">
        <v>229.17</v>
      </c>
      <c r="CB600" s="48"/>
      <c r="CJ600" s="26">
        <f>SUM(BX600:CI600)</f>
        <v>229.17</v>
      </c>
    </row>
    <row r="601" spans="3:88" ht="13.5" thickBot="1">
      <c r="C601" s="4" t="str">
        <f>C595</f>
        <v>Intercept</v>
      </c>
      <c r="BX601" s="26">
        <v>0</v>
      </c>
      <c r="BY601" s="26">
        <f aca="true" t="shared" si="140" ref="BY601:CD601">39166.67+78813.2</f>
        <v>117979.87</v>
      </c>
      <c r="BZ601" s="26">
        <f t="shared" si="140"/>
        <v>117979.87</v>
      </c>
      <c r="CA601" s="26">
        <f t="shared" si="140"/>
        <v>117979.87</v>
      </c>
      <c r="CB601" s="26">
        <f t="shared" si="140"/>
        <v>117979.87</v>
      </c>
      <c r="CC601" s="26">
        <f t="shared" si="140"/>
        <v>117979.87</v>
      </c>
      <c r="CD601" s="26">
        <f t="shared" si="140"/>
        <v>117979.87</v>
      </c>
      <c r="CE601" s="26">
        <f>39166.67+67554.17</f>
        <v>106720.84</v>
      </c>
      <c r="CF601" s="26">
        <f>39166.67+67554.17</f>
        <v>106720.84</v>
      </c>
      <c r="CG601" s="26">
        <f>39166.67+67554.17</f>
        <v>106720.84</v>
      </c>
      <c r="CH601" s="26">
        <f>39166.67+67554.17</f>
        <v>106720.84</v>
      </c>
      <c r="CI601" s="42">
        <f>39166.67+67554.17</f>
        <v>106720.84</v>
      </c>
      <c r="CJ601" s="26">
        <f>SUM(BX601:CI601)</f>
        <v>1241483.42</v>
      </c>
    </row>
    <row r="602" spans="3:88" ht="13.5" thickBot="1">
      <c r="C602" s="6" t="s">
        <v>22</v>
      </c>
      <c r="BX602" s="27">
        <f aca="true" t="shared" si="141" ref="BX602:CJ602">SUM(BX599:BX601)</f>
        <v>0</v>
      </c>
      <c r="BY602" s="27">
        <f t="shared" si="141"/>
        <v>118567.37</v>
      </c>
      <c r="BZ602" s="27">
        <f t="shared" si="141"/>
        <v>118338.2</v>
      </c>
      <c r="CA602" s="27">
        <f t="shared" si="141"/>
        <v>118338.2</v>
      </c>
      <c r="CB602" s="27">
        <f t="shared" si="141"/>
        <v>118338.2</v>
      </c>
      <c r="CC602" s="27">
        <f t="shared" si="141"/>
        <v>118338.2</v>
      </c>
      <c r="CD602" s="27">
        <f t="shared" si="141"/>
        <v>118338.2</v>
      </c>
      <c r="CE602" s="27">
        <f t="shared" si="141"/>
        <v>107079.17</v>
      </c>
      <c r="CF602" s="27">
        <f t="shared" si="141"/>
        <v>107079.17</v>
      </c>
      <c r="CG602" s="27">
        <f t="shared" si="141"/>
        <v>107079.17</v>
      </c>
      <c r="CH602" s="27">
        <f t="shared" si="141"/>
        <v>107079.17</v>
      </c>
      <c r="CI602" s="43">
        <f t="shared" si="141"/>
        <v>107079.17</v>
      </c>
      <c r="CJ602" s="31">
        <f>SUM(CJ599:CJ601)</f>
        <v>1245654.22</v>
      </c>
    </row>
    <row r="603" spans="3:88" ht="12.75">
      <c r="C603" s="12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44"/>
      <c r="CJ603" s="28"/>
    </row>
    <row r="604" spans="1:88" ht="21">
      <c r="A604" s="16">
        <f>+A598+1</f>
        <v>69</v>
      </c>
      <c r="B604" s="21"/>
      <c r="C604" s="5" t="s">
        <v>201</v>
      </c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44"/>
      <c r="CJ604" s="28"/>
    </row>
    <row r="605" spans="1:88" ht="12.75">
      <c r="A605" s="20"/>
      <c r="B605" s="20"/>
      <c r="C605" s="4" t="str">
        <f>C599</f>
        <v>Debt Reserve</v>
      </c>
      <c r="BX605" s="26">
        <v>0</v>
      </c>
      <c r="BY605" s="26">
        <v>0</v>
      </c>
      <c r="BZ605" s="26">
        <v>10995</v>
      </c>
      <c r="CA605" s="26">
        <v>10995</v>
      </c>
      <c r="CB605" s="26">
        <v>1832.5</v>
      </c>
      <c r="CC605" s="26">
        <v>1832.5</v>
      </c>
      <c r="CD605" s="26">
        <v>1832.5</v>
      </c>
      <c r="CE605" s="26">
        <v>1832.5</v>
      </c>
      <c r="CF605" s="26">
        <v>1832.5</v>
      </c>
      <c r="CG605" s="26">
        <v>1832.5</v>
      </c>
      <c r="CH605" s="26">
        <v>1832.5</v>
      </c>
      <c r="CI605" s="42">
        <v>1832.5</v>
      </c>
      <c r="CJ605" s="26">
        <f>SUM(BX605:CI605)</f>
        <v>36650</v>
      </c>
    </row>
    <row r="606" spans="3:88" ht="12.75">
      <c r="C606" s="4" t="str">
        <f>C600</f>
        <v>Treasury Fee</v>
      </c>
      <c r="BX606" s="48"/>
      <c r="BY606" s="48"/>
      <c r="BZ606" s="48">
        <v>208.33</v>
      </c>
      <c r="CB606" s="48"/>
      <c r="CC606" s="48"/>
      <c r="CD606" s="48"/>
      <c r="CE606" s="48"/>
      <c r="CF606" s="48"/>
      <c r="CG606" s="48"/>
      <c r="CH606" s="48"/>
      <c r="CI606" s="50"/>
      <c r="CJ606" s="26">
        <f>SUM(BX606:CI606)</f>
        <v>208.33</v>
      </c>
    </row>
    <row r="607" spans="3:88" ht="13.5" thickBot="1">
      <c r="C607" s="4" t="str">
        <f>C601</f>
        <v>Intercept</v>
      </c>
      <c r="BX607" s="26">
        <v>0</v>
      </c>
      <c r="BY607" s="26">
        <v>0</v>
      </c>
      <c r="BZ607" s="26">
        <v>96810.12</v>
      </c>
      <c r="CA607" s="26">
        <v>96810.12</v>
      </c>
      <c r="CB607" s="26">
        <f>32916.67+75436.46</f>
        <v>108353.13</v>
      </c>
      <c r="CC607" s="26">
        <f aca="true" t="shared" si="142" ref="CC607:CJ607">32916.67+75436.46</f>
        <v>108353.13</v>
      </c>
      <c r="CD607" s="26">
        <f t="shared" si="142"/>
        <v>108353.13</v>
      </c>
      <c r="CE607" s="26">
        <f t="shared" si="142"/>
        <v>108353.13</v>
      </c>
      <c r="CF607" s="26">
        <f t="shared" si="142"/>
        <v>108353.13</v>
      </c>
      <c r="CG607" s="26">
        <f>32916.67+75436.45</f>
        <v>108353.12</v>
      </c>
      <c r="CH607" s="26">
        <f t="shared" si="142"/>
        <v>108353.13</v>
      </c>
      <c r="CI607" s="42">
        <f t="shared" si="142"/>
        <v>108353.13</v>
      </c>
      <c r="CJ607" s="26">
        <f>SUM(BX607:CI607)</f>
        <v>1060445.27</v>
      </c>
    </row>
    <row r="608" spans="3:88" ht="13.5" thickBot="1">
      <c r="C608" s="6" t="s">
        <v>120</v>
      </c>
      <c r="BX608" s="27">
        <f aca="true" t="shared" si="143" ref="BX608:CJ608">SUM(BX605:BX607)</f>
        <v>0</v>
      </c>
      <c r="BY608" s="27">
        <f t="shared" si="143"/>
        <v>0</v>
      </c>
      <c r="BZ608" s="27">
        <f t="shared" si="143"/>
        <v>108013.45</v>
      </c>
      <c r="CA608" s="27">
        <f t="shared" si="143"/>
        <v>107805.12</v>
      </c>
      <c r="CB608" s="27">
        <f t="shared" si="143"/>
        <v>110185.63</v>
      </c>
      <c r="CC608" s="27">
        <f t="shared" si="143"/>
        <v>110185.63</v>
      </c>
      <c r="CD608" s="27">
        <f t="shared" si="143"/>
        <v>110185.63</v>
      </c>
      <c r="CE608" s="27">
        <f t="shared" si="143"/>
        <v>110185.63</v>
      </c>
      <c r="CF608" s="27">
        <f t="shared" si="143"/>
        <v>110185.63</v>
      </c>
      <c r="CG608" s="27">
        <f t="shared" si="143"/>
        <v>110185.62</v>
      </c>
      <c r="CH608" s="27">
        <f t="shared" si="143"/>
        <v>110185.63</v>
      </c>
      <c r="CI608" s="43">
        <f t="shared" si="143"/>
        <v>110185.63</v>
      </c>
      <c r="CJ608" s="31">
        <f>SUM(CJ605:CJ607)</f>
        <v>1097303.6</v>
      </c>
    </row>
    <row r="609" spans="3:88" ht="12.75">
      <c r="C609" s="12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44"/>
      <c r="CJ609" s="28"/>
    </row>
    <row r="610" spans="1:88" ht="15.75">
      <c r="A610" s="16">
        <f>+A604+1</f>
        <v>70</v>
      </c>
      <c r="C610" s="5" t="s">
        <v>208</v>
      </c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44"/>
      <c r="CJ610" s="28"/>
    </row>
    <row r="611" spans="3:88" ht="12.75">
      <c r="C611" s="4" t="s">
        <v>3</v>
      </c>
      <c r="BX611" s="26">
        <v>0</v>
      </c>
      <c r="BY611" s="26">
        <v>0</v>
      </c>
      <c r="BZ611" s="26">
        <v>0</v>
      </c>
      <c r="CA611" s="26">
        <v>12198.33</v>
      </c>
      <c r="CB611" s="26">
        <v>12198.33</v>
      </c>
      <c r="CC611" s="26">
        <v>12198.33</v>
      </c>
      <c r="CD611" s="26">
        <v>3042.92</v>
      </c>
      <c r="CE611" s="26">
        <v>3042.92</v>
      </c>
      <c r="CF611" s="26">
        <v>3042.92</v>
      </c>
      <c r="CG611" s="26">
        <v>3042.92</v>
      </c>
      <c r="CH611" s="26">
        <v>3042.92</v>
      </c>
      <c r="CI611" s="42">
        <v>3042.92</v>
      </c>
      <c r="CJ611" s="26">
        <f>SUM(BX611:CI611)</f>
        <v>54852.50999999999</v>
      </c>
    </row>
    <row r="612" spans="3:88" ht="12.75">
      <c r="C612" s="4" t="s">
        <v>4</v>
      </c>
      <c r="BX612" s="48"/>
      <c r="BY612" s="48"/>
      <c r="BZ612" s="48"/>
      <c r="CA612" s="48">
        <v>187.5</v>
      </c>
      <c r="CB612" s="48"/>
      <c r="CC612" s="48"/>
      <c r="CD612" s="48"/>
      <c r="CE612" s="48"/>
      <c r="CF612" s="48"/>
      <c r="CG612" s="48"/>
      <c r="CH612" s="48"/>
      <c r="CI612" s="50"/>
      <c r="CJ612" s="26">
        <f>SUM(BX612:CI612)</f>
        <v>187.5</v>
      </c>
    </row>
    <row r="613" spans="3:88" ht="13.5" thickBot="1">
      <c r="C613" s="4" t="s">
        <v>5</v>
      </c>
      <c r="BX613" s="26">
        <v>0</v>
      </c>
      <c r="BY613" s="26">
        <v>0</v>
      </c>
      <c r="BZ613" s="26">
        <v>0</v>
      </c>
      <c r="CA613" s="26">
        <f>40000+157455.73</f>
        <v>197455.73</v>
      </c>
      <c r="CB613" s="26">
        <f>40000+157455.73</f>
        <v>197455.73</v>
      </c>
      <c r="CC613" s="26">
        <f>74166.67+125831.25</f>
        <v>199997.91999999998</v>
      </c>
      <c r="CD613" s="26">
        <f aca="true" t="shared" si="144" ref="CD613:CJ613">74166.67+125831.25</f>
        <v>199997.91999999998</v>
      </c>
      <c r="CE613" s="26">
        <f t="shared" si="144"/>
        <v>199997.91999999998</v>
      </c>
      <c r="CF613" s="26">
        <f t="shared" si="144"/>
        <v>199997.91999999998</v>
      </c>
      <c r="CG613" s="26">
        <f t="shared" si="144"/>
        <v>199997.91999999998</v>
      </c>
      <c r="CH613" s="26">
        <f t="shared" si="144"/>
        <v>199997.91999999998</v>
      </c>
      <c r="CI613" s="42">
        <f t="shared" si="144"/>
        <v>199997.91999999998</v>
      </c>
      <c r="CJ613" s="26">
        <f>SUM(BX613:CI613)</f>
        <v>1794896.8999999997</v>
      </c>
    </row>
    <row r="614" spans="3:88" ht="13.5" thickBot="1">
      <c r="C614" s="6" t="s">
        <v>209</v>
      </c>
      <c r="BX614" s="27">
        <f aca="true" t="shared" si="145" ref="BX614:CI614">SUM(BX611:BX613)</f>
        <v>0</v>
      </c>
      <c r="BY614" s="27">
        <f t="shared" si="145"/>
        <v>0</v>
      </c>
      <c r="BZ614" s="27">
        <f t="shared" si="145"/>
        <v>0</v>
      </c>
      <c r="CA614" s="27">
        <f t="shared" si="145"/>
        <v>209841.56</v>
      </c>
      <c r="CB614" s="27">
        <f t="shared" si="145"/>
        <v>209654.06</v>
      </c>
      <c r="CC614" s="27">
        <f t="shared" si="145"/>
        <v>212196.24999999997</v>
      </c>
      <c r="CD614" s="27">
        <f t="shared" si="145"/>
        <v>203040.84</v>
      </c>
      <c r="CE614" s="27">
        <f t="shared" si="145"/>
        <v>203040.84</v>
      </c>
      <c r="CF614" s="27">
        <f t="shared" si="145"/>
        <v>203040.84</v>
      </c>
      <c r="CG614" s="27">
        <f t="shared" si="145"/>
        <v>203040.84</v>
      </c>
      <c r="CH614" s="27">
        <f t="shared" si="145"/>
        <v>203040.84</v>
      </c>
      <c r="CI614" s="43">
        <f t="shared" si="145"/>
        <v>203040.84</v>
      </c>
      <c r="CJ614" s="31">
        <f>SUM(CJ611:CJ613)</f>
        <v>1849936.9099999997</v>
      </c>
    </row>
    <row r="615" spans="3:88" ht="12.75">
      <c r="C615" s="12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44"/>
      <c r="CJ615" s="28"/>
    </row>
    <row r="616" spans="1:88" ht="15.75">
      <c r="A616" s="16">
        <f>+A610+1</f>
        <v>71</v>
      </c>
      <c r="C616" s="5" t="s">
        <v>202</v>
      </c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44"/>
      <c r="CJ616" s="28"/>
    </row>
    <row r="617" spans="3:88" ht="12.75">
      <c r="C617" s="4" t="s">
        <v>3</v>
      </c>
      <c r="BX617" s="26">
        <v>0</v>
      </c>
      <c r="BY617" s="26">
        <v>0</v>
      </c>
      <c r="BZ617" s="26">
        <v>0</v>
      </c>
      <c r="CA617" s="26">
        <v>0</v>
      </c>
      <c r="CB617" s="26">
        <v>478.33</v>
      </c>
      <c r="CC617" s="26">
        <v>478.33</v>
      </c>
      <c r="CD617" s="26">
        <v>478.33</v>
      </c>
      <c r="CE617" s="26">
        <v>478.33</v>
      </c>
      <c r="CF617" s="26">
        <v>478.33</v>
      </c>
      <c r="CG617" s="26">
        <v>478.33</v>
      </c>
      <c r="CH617" s="26">
        <v>478.33</v>
      </c>
      <c r="CI617" s="42">
        <v>478.33</v>
      </c>
      <c r="CJ617" s="26">
        <f>SUM(BX617:CI617)</f>
        <v>3826.64</v>
      </c>
    </row>
    <row r="618" spans="3:88" ht="12.75">
      <c r="C618" s="4" t="s">
        <v>4</v>
      </c>
      <c r="BX618" s="48"/>
      <c r="BY618" s="48"/>
      <c r="BZ618" s="48"/>
      <c r="CA618" s="48"/>
      <c r="CB618" s="48">
        <v>166.67</v>
      </c>
      <c r="CC618" s="48"/>
      <c r="CD618" s="48"/>
      <c r="CE618" s="48"/>
      <c r="CF618" s="48"/>
      <c r="CG618" s="48"/>
      <c r="CH618" s="48"/>
      <c r="CI618" s="50"/>
      <c r="CJ618" s="26">
        <f>SUM(BX618:CI618)</f>
        <v>166.67</v>
      </c>
    </row>
    <row r="619" spans="3:88" ht="13.5" thickBot="1">
      <c r="C619" s="4" t="s">
        <v>5</v>
      </c>
      <c r="BX619" s="26">
        <v>0</v>
      </c>
      <c r="BY619" s="26">
        <v>0</v>
      </c>
      <c r="BZ619" s="26">
        <v>0</v>
      </c>
      <c r="CA619" s="26">
        <v>0</v>
      </c>
      <c r="CB619" s="26">
        <v>0</v>
      </c>
      <c r="CC619" s="26">
        <v>0</v>
      </c>
      <c r="CD619" s="26">
        <v>0</v>
      </c>
      <c r="CE619" s="26">
        <v>0</v>
      </c>
      <c r="CF619" s="26">
        <v>0</v>
      </c>
      <c r="CG619" s="26">
        <v>0</v>
      </c>
      <c r="CH619" s="26">
        <v>0</v>
      </c>
      <c r="CI619" s="42">
        <v>0</v>
      </c>
      <c r="CJ619" s="26">
        <f>SUM(BX619:CI619)</f>
        <v>0</v>
      </c>
    </row>
    <row r="620" spans="3:88" ht="13.5" thickBot="1">
      <c r="C620" s="6" t="s">
        <v>203</v>
      </c>
      <c r="BX620" s="27">
        <f aca="true" t="shared" si="146" ref="BX620:CI620">SUM(BX617:BX619)</f>
        <v>0</v>
      </c>
      <c r="BY620" s="27">
        <f t="shared" si="146"/>
        <v>0</v>
      </c>
      <c r="BZ620" s="27">
        <f t="shared" si="146"/>
        <v>0</v>
      </c>
      <c r="CA620" s="27">
        <f t="shared" si="146"/>
        <v>0</v>
      </c>
      <c r="CB620" s="27">
        <f t="shared" si="146"/>
        <v>645</v>
      </c>
      <c r="CC620" s="27">
        <f t="shared" si="146"/>
        <v>478.33</v>
      </c>
      <c r="CD620" s="27">
        <f t="shared" si="146"/>
        <v>478.33</v>
      </c>
      <c r="CE620" s="27">
        <f t="shared" si="146"/>
        <v>478.33</v>
      </c>
      <c r="CF620" s="27">
        <f t="shared" si="146"/>
        <v>478.33</v>
      </c>
      <c r="CG620" s="27">
        <f t="shared" si="146"/>
        <v>478.33</v>
      </c>
      <c r="CH620" s="27">
        <f t="shared" si="146"/>
        <v>478.33</v>
      </c>
      <c r="CI620" s="43">
        <f t="shared" si="146"/>
        <v>478.33</v>
      </c>
      <c r="CJ620" s="31">
        <f>SUM(CJ617:CJ619)</f>
        <v>3993.31</v>
      </c>
    </row>
    <row r="621" spans="3:88" ht="12.75">
      <c r="C621" s="12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44"/>
      <c r="CJ621" s="28"/>
    </row>
    <row r="622" spans="1:88" ht="15.75">
      <c r="A622" s="16">
        <f>+A616+1</f>
        <v>72</v>
      </c>
      <c r="C622" s="5" t="s">
        <v>204</v>
      </c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44"/>
      <c r="CJ622" s="28"/>
    </row>
    <row r="623" spans="3:88" ht="12.75">
      <c r="C623" s="4" t="s">
        <v>3</v>
      </c>
      <c r="BX623" s="26">
        <v>0</v>
      </c>
      <c r="BY623" s="26">
        <v>0</v>
      </c>
      <c r="BZ623" s="26">
        <v>0</v>
      </c>
      <c r="CA623" s="26">
        <v>0</v>
      </c>
      <c r="CB623" s="26">
        <v>0</v>
      </c>
      <c r="CC623" s="26">
        <v>0</v>
      </c>
      <c r="CD623" s="26">
        <v>0</v>
      </c>
      <c r="CE623" s="26">
        <v>0</v>
      </c>
      <c r="CF623" s="26">
        <v>0</v>
      </c>
      <c r="CG623" s="26">
        <v>0</v>
      </c>
      <c r="CH623" s="26">
        <v>0</v>
      </c>
      <c r="CI623" s="42">
        <v>0</v>
      </c>
      <c r="CJ623" s="26">
        <f>SUM(BX623:CI623)</f>
        <v>0</v>
      </c>
    </row>
    <row r="624" spans="3:88" ht="12.75">
      <c r="C624" s="4" t="s">
        <v>4</v>
      </c>
      <c r="BX624" s="48"/>
      <c r="BY624" s="48"/>
      <c r="BZ624" s="48"/>
      <c r="CA624" s="48"/>
      <c r="CB624" s="48"/>
      <c r="CC624" s="48">
        <v>145.83</v>
      </c>
      <c r="CD624" s="48"/>
      <c r="CE624" s="48"/>
      <c r="CF624" s="48"/>
      <c r="CG624" s="48"/>
      <c r="CH624" s="48"/>
      <c r="CI624" s="50"/>
      <c r="CJ624" s="26">
        <f>SUM(BX624:CI624)</f>
        <v>145.83</v>
      </c>
    </row>
    <row r="625" spans="3:88" ht="13.5" thickBot="1">
      <c r="C625" s="4" t="s">
        <v>5</v>
      </c>
      <c r="BX625" s="26">
        <v>0</v>
      </c>
      <c r="BY625" s="26">
        <v>0</v>
      </c>
      <c r="BZ625" s="26">
        <v>0</v>
      </c>
      <c r="CA625" s="26">
        <v>0</v>
      </c>
      <c r="CB625" s="26">
        <v>0</v>
      </c>
      <c r="CC625" s="26">
        <f>27727.274+71060.42</f>
        <v>98787.694</v>
      </c>
      <c r="CD625" s="26">
        <f>27727.274+71060.42</f>
        <v>98787.694</v>
      </c>
      <c r="CE625" s="26">
        <f>27727.274+71060.42</f>
        <v>98787.694</v>
      </c>
      <c r="CF625" s="26">
        <f>27727.274+71060.42</f>
        <v>98787.694</v>
      </c>
      <c r="CG625" s="26">
        <f>27727.274+71060.42</f>
        <v>98787.694</v>
      </c>
      <c r="CH625" s="26">
        <f>27727.27+63826.73</f>
        <v>91554</v>
      </c>
      <c r="CI625" s="42">
        <f>27727.27+63826.73</f>
        <v>91554</v>
      </c>
      <c r="CJ625" s="26">
        <f>SUM(BX625:CI625)</f>
        <v>677046.47</v>
      </c>
    </row>
    <row r="626" spans="3:88" ht="13.5" thickBot="1">
      <c r="C626" s="6" t="s">
        <v>156</v>
      </c>
      <c r="BX626" s="27">
        <f aca="true" t="shared" si="147" ref="BX626:CI626">SUM(BX623:BX625)</f>
        <v>0</v>
      </c>
      <c r="BY626" s="27">
        <f t="shared" si="147"/>
        <v>0</v>
      </c>
      <c r="BZ626" s="27">
        <f t="shared" si="147"/>
        <v>0</v>
      </c>
      <c r="CA626" s="27">
        <f t="shared" si="147"/>
        <v>0</v>
      </c>
      <c r="CB626" s="27">
        <f t="shared" si="147"/>
        <v>0</v>
      </c>
      <c r="CC626" s="27">
        <f t="shared" si="147"/>
        <v>98933.524</v>
      </c>
      <c r="CD626" s="27">
        <f t="shared" si="147"/>
        <v>98787.694</v>
      </c>
      <c r="CE626" s="27">
        <f t="shared" si="147"/>
        <v>98787.694</v>
      </c>
      <c r="CF626" s="27">
        <f t="shared" si="147"/>
        <v>98787.694</v>
      </c>
      <c r="CG626" s="27">
        <f t="shared" si="147"/>
        <v>98787.694</v>
      </c>
      <c r="CH626" s="27">
        <f t="shared" si="147"/>
        <v>91554</v>
      </c>
      <c r="CI626" s="43">
        <f t="shared" si="147"/>
        <v>91554</v>
      </c>
      <c r="CJ626" s="31">
        <f>SUM(CJ623:CJ625)</f>
        <v>677192.2999999999</v>
      </c>
    </row>
    <row r="627" spans="3:88" ht="12.75">
      <c r="C627" s="12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44"/>
      <c r="CJ627" s="28"/>
    </row>
    <row r="628" spans="1:88" ht="15.75">
      <c r="A628" s="16">
        <f>+A622+1</f>
        <v>73</v>
      </c>
      <c r="C628" s="5" t="s">
        <v>205</v>
      </c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44"/>
      <c r="CJ628" s="28"/>
    </row>
    <row r="629" spans="3:88" ht="12.75">
      <c r="C629" s="4" t="s">
        <v>3</v>
      </c>
      <c r="BX629" s="26">
        <v>0</v>
      </c>
      <c r="BY629" s="26">
        <v>0</v>
      </c>
      <c r="BZ629" s="26">
        <v>0</v>
      </c>
      <c r="CA629" s="26">
        <v>0</v>
      </c>
      <c r="CB629" s="26">
        <v>0</v>
      </c>
      <c r="CC629" s="26">
        <v>0</v>
      </c>
      <c r="CD629" s="26">
        <v>0</v>
      </c>
      <c r="CE629" s="26">
        <v>0</v>
      </c>
      <c r="CF629" s="26">
        <v>0</v>
      </c>
      <c r="CG629" s="26">
        <v>0</v>
      </c>
      <c r="CH629" s="26">
        <v>0</v>
      </c>
      <c r="CI629" s="42">
        <v>0</v>
      </c>
      <c r="CJ629" s="26">
        <f>SUM(BX629:CI629)</f>
        <v>0</v>
      </c>
    </row>
    <row r="630" spans="3:88" ht="12.75">
      <c r="C630" s="4" t="s">
        <v>4</v>
      </c>
      <c r="BX630" s="48"/>
      <c r="BY630" s="48"/>
      <c r="BZ630" s="48"/>
      <c r="CA630" s="48"/>
      <c r="CB630" s="48"/>
      <c r="CC630" s="48">
        <v>145.83</v>
      </c>
      <c r="CD630" s="48"/>
      <c r="CE630" s="48"/>
      <c r="CF630" s="48"/>
      <c r="CG630" s="48"/>
      <c r="CH630" s="48"/>
      <c r="CI630" s="50"/>
      <c r="CJ630" s="26">
        <f>SUM(BX630:CI630)</f>
        <v>145.83</v>
      </c>
    </row>
    <row r="631" spans="3:88" ht="13.5" thickBot="1">
      <c r="C631" s="4" t="s">
        <v>5</v>
      </c>
      <c r="BX631" s="26">
        <v>0</v>
      </c>
      <c r="BY631" s="26">
        <v>0</v>
      </c>
      <c r="BZ631" s="26">
        <v>0</v>
      </c>
      <c r="CA631" s="26">
        <v>0</v>
      </c>
      <c r="CB631" s="26">
        <v>0</v>
      </c>
      <c r="CC631" s="26">
        <f>15454.55+63006.34-78460.89</f>
        <v>0</v>
      </c>
      <c r="CD631" s="26">
        <f>15454.55+63006.34-3899.29</f>
        <v>74561.6</v>
      </c>
      <c r="CE631" s="26">
        <f>15454.55+63006.34</f>
        <v>78460.89</v>
      </c>
      <c r="CF631" s="26">
        <f>15454.55+63006.34</f>
        <v>78460.89</v>
      </c>
      <c r="CG631" s="26">
        <f>15454.55+63006.34</f>
        <v>78460.89</v>
      </c>
      <c r="CH631" s="26">
        <f>15454.55+58701.56</f>
        <v>74156.11</v>
      </c>
      <c r="CI631" s="42">
        <f>15454.55+58701.56</f>
        <v>74156.11</v>
      </c>
      <c r="CJ631" s="26">
        <f>SUM(BX631:CI631)</f>
        <v>458256.49</v>
      </c>
    </row>
    <row r="632" spans="3:88" ht="13.5" thickBot="1">
      <c r="C632" s="6" t="s">
        <v>159</v>
      </c>
      <c r="BX632" s="27">
        <f aca="true" t="shared" si="148" ref="BX632:CI632">SUM(BX629:BX631)</f>
        <v>0</v>
      </c>
      <c r="BY632" s="27">
        <f t="shared" si="148"/>
        <v>0</v>
      </c>
      <c r="BZ632" s="27">
        <f t="shared" si="148"/>
        <v>0</v>
      </c>
      <c r="CA632" s="27">
        <f t="shared" si="148"/>
        <v>0</v>
      </c>
      <c r="CB632" s="27">
        <f t="shared" si="148"/>
        <v>0</v>
      </c>
      <c r="CC632" s="27">
        <f t="shared" si="148"/>
        <v>145.83</v>
      </c>
      <c r="CD632" s="27">
        <f t="shared" si="148"/>
        <v>74561.6</v>
      </c>
      <c r="CE632" s="27">
        <f t="shared" si="148"/>
        <v>78460.89</v>
      </c>
      <c r="CF632" s="27">
        <f t="shared" si="148"/>
        <v>78460.89</v>
      </c>
      <c r="CG632" s="27">
        <f t="shared" si="148"/>
        <v>78460.89</v>
      </c>
      <c r="CH632" s="27">
        <f t="shared" si="148"/>
        <v>74156.11</v>
      </c>
      <c r="CI632" s="43">
        <f t="shared" si="148"/>
        <v>74156.11</v>
      </c>
      <c r="CJ632" s="31">
        <f>SUM(CJ629:CJ631)</f>
        <v>458402.32</v>
      </c>
    </row>
    <row r="633" spans="3:88" ht="12.75">
      <c r="C633" s="12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44"/>
      <c r="CJ633" s="28"/>
    </row>
    <row r="634" spans="1:88" ht="15.75">
      <c r="A634" s="16">
        <f>+A628+1</f>
        <v>74</v>
      </c>
      <c r="C634" s="5" t="s">
        <v>206</v>
      </c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44"/>
      <c r="CJ634" s="28"/>
    </row>
    <row r="635" spans="3:88" ht="12.75">
      <c r="C635" s="4" t="s">
        <v>3</v>
      </c>
      <c r="BX635" s="26">
        <v>0</v>
      </c>
      <c r="BY635" s="26">
        <v>0</v>
      </c>
      <c r="BZ635" s="26">
        <v>0</v>
      </c>
      <c r="CA635" s="26">
        <v>0</v>
      </c>
      <c r="CB635" s="26">
        <v>0</v>
      </c>
      <c r="CC635" s="26">
        <v>0</v>
      </c>
      <c r="CD635" s="26">
        <v>0</v>
      </c>
      <c r="CE635" s="26">
        <v>0</v>
      </c>
      <c r="CF635" s="26">
        <v>0</v>
      </c>
      <c r="CG635" s="26">
        <v>0</v>
      </c>
      <c r="CH635" s="26">
        <v>0</v>
      </c>
      <c r="CI635" s="42">
        <v>0</v>
      </c>
      <c r="CJ635" s="26">
        <f>SUM(BX635:CI635)</f>
        <v>0</v>
      </c>
    </row>
    <row r="636" spans="3:88" ht="12.75">
      <c r="C636" s="4" t="s">
        <v>4</v>
      </c>
      <c r="BX636" s="48"/>
      <c r="BY636" s="48"/>
      <c r="BZ636" s="48"/>
      <c r="CA636" s="48"/>
      <c r="CB636" s="48"/>
      <c r="CC636" s="48"/>
      <c r="CD636" s="48">
        <v>125</v>
      </c>
      <c r="CE636" s="48"/>
      <c r="CF636" s="48"/>
      <c r="CG636" s="48"/>
      <c r="CH636" s="48"/>
      <c r="CI636" s="50"/>
      <c r="CJ636" s="26">
        <f>SUM(BX636:CI636)</f>
        <v>125</v>
      </c>
    </row>
    <row r="637" spans="3:88" ht="13.5" thickBot="1">
      <c r="C637" s="4" t="s">
        <v>5</v>
      </c>
      <c r="BX637" s="26">
        <v>0</v>
      </c>
      <c r="BY637" s="26">
        <v>0</v>
      </c>
      <c r="BZ637" s="26">
        <v>0</v>
      </c>
      <c r="CA637" s="26">
        <v>0</v>
      </c>
      <c r="CB637" s="26">
        <v>0</v>
      </c>
      <c r="CC637" s="26">
        <f>15454.55+63006.34-78460.89</f>
        <v>0</v>
      </c>
      <c r="CD637" s="26">
        <f aca="true" t="shared" si="149" ref="CD637:CI637">15454.55+63006.34-78460.89</f>
        <v>0</v>
      </c>
      <c r="CE637" s="26">
        <f t="shared" si="149"/>
        <v>0</v>
      </c>
      <c r="CF637" s="26">
        <f t="shared" si="149"/>
        <v>0</v>
      </c>
      <c r="CG637" s="26">
        <f t="shared" si="149"/>
        <v>0</v>
      </c>
      <c r="CH637" s="26">
        <f t="shared" si="149"/>
        <v>0</v>
      </c>
      <c r="CI637" s="42">
        <f t="shared" si="149"/>
        <v>0</v>
      </c>
      <c r="CJ637" s="26">
        <f>SUM(BX637:CI637)</f>
        <v>0</v>
      </c>
    </row>
    <row r="638" spans="3:88" ht="13.5" thickBot="1">
      <c r="C638" s="6" t="s">
        <v>147</v>
      </c>
      <c r="BX638" s="27">
        <f aca="true" t="shared" si="150" ref="BX638:CI638">SUM(BX635:BX637)</f>
        <v>0</v>
      </c>
      <c r="BY638" s="27">
        <f t="shared" si="150"/>
        <v>0</v>
      </c>
      <c r="BZ638" s="27">
        <f t="shared" si="150"/>
        <v>0</v>
      </c>
      <c r="CA638" s="27">
        <f t="shared" si="150"/>
        <v>0</v>
      </c>
      <c r="CB638" s="27">
        <f t="shared" si="150"/>
        <v>0</v>
      </c>
      <c r="CC638" s="27">
        <f t="shared" si="150"/>
        <v>0</v>
      </c>
      <c r="CD638" s="27">
        <f t="shared" si="150"/>
        <v>125</v>
      </c>
      <c r="CE638" s="27">
        <f t="shared" si="150"/>
        <v>0</v>
      </c>
      <c r="CF638" s="27">
        <f t="shared" si="150"/>
        <v>0</v>
      </c>
      <c r="CG638" s="27">
        <f t="shared" si="150"/>
        <v>0</v>
      </c>
      <c r="CH638" s="27">
        <f t="shared" si="150"/>
        <v>0</v>
      </c>
      <c r="CI638" s="43">
        <f t="shared" si="150"/>
        <v>0</v>
      </c>
      <c r="CJ638" s="31">
        <f>SUM(CJ635:CJ637)</f>
        <v>125</v>
      </c>
    </row>
    <row r="639" spans="3:88" ht="12.75">
      <c r="C639" s="12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44"/>
      <c r="CJ639" s="28"/>
    </row>
    <row r="640" spans="1:88" ht="15.75">
      <c r="A640" s="16">
        <f>+A634+1</f>
        <v>75</v>
      </c>
      <c r="C640" s="5" t="s">
        <v>207</v>
      </c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44"/>
      <c r="CJ640" s="28"/>
    </row>
    <row r="641" spans="3:88" ht="12.75">
      <c r="C641" s="4" t="s">
        <v>3</v>
      </c>
      <c r="BX641" s="26">
        <v>0</v>
      </c>
      <c r="BY641" s="26">
        <v>0</v>
      </c>
      <c r="BZ641" s="26">
        <v>0</v>
      </c>
      <c r="CA641" s="26">
        <v>0</v>
      </c>
      <c r="CB641" s="26">
        <v>0</v>
      </c>
      <c r="CC641" s="26">
        <v>0</v>
      </c>
      <c r="CD641" s="26">
        <v>1188.75</v>
      </c>
      <c r="CE641" s="26">
        <v>1188.75</v>
      </c>
      <c r="CF641" s="26">
        <v>1188.75</v>
      </c>
      <c r="CG641" s="26">
        <v>1188.75</v>
      </c>
      <c r="CH641" s="26">
        <v>1188.75</v>
      </c>
      <c r="CI641" s="42">
        <v>1188.75</v>
      </c>
      <c r="CJ641" s="26">
        <f>SUM(BX641:CI641)</f>
        <v>7132.5</v>
      </c>
    </row>
    <row r="642" spans="3:88" ht="12.75">
      <c r="C642" s="4" t="s">
        <v>4</v>
      </c>
      <c r="BX642" s="48"/>
      <c r="BY642" s="48"/>
      <c r="BZ642" s="48"/>
      <c r="CA642" s="48"/>
      <c r="CB642" s="48"/>
      <c r="CC642" s="48"/>
      <c r="CD642" s="48">
        <v>125</v>
      </c>
      <c r="CE642" s="48"/>
      <c r="CF642" s="48"/>
      <c r="CG642" s="48"/>
      <c r="CH642" s="48"/>
      <c r="CI642" s="50"/>
      <c r="CJ642" s="26">
        <f>SUM(BX642:CI642)</f>
        <v>125</v>
      </c>
    </row>
    <row r="643" spans="3:88" ht="13.5" thickBot="1">
      <c r="C643" s="4" t="s">
        <v>5</v>
      </c>
      <c r="BX643" s="26">
        <v>0</v>
      </c>
      <c r="BY643" s="26">
        <v>0</v>
      </c>
      <c r="BZ643" s="26">
        <v>0</v>
      </c>
      <c r="CA643" s="26">
        <v>0</v>
      </c>
      <c r="CB643" s="26">
        <v>0</v>
      </c>
      <c r="CC643" s="26">
        <f>15454.55+63006.34-78460.89</f>
        <v>0</v>
      </c>
      <c r="CD643" s="26">
        <f>23888.89+53241.88</f>
        <v>77130.76999999999</v>
      </c>
      <c r="CE643" s="26">
        <f>23888.89+53241.88</f>
        <v>77130.76999999999</v>
      </c>
      <c r="CF643" s="26">
        <f>23888.89+53241.87</f>
        <v>77130.76000000001</v>
      </c>
      <c r="CG643" s="26">
        <f>23888.89+46978.13</f>
        <v>70867.01999999999</v>
      </c>
      <c r="CH643" s="26">
        <f>23888.89+46978.13</f>
        <v>70867.01999999999</v>
      </c>
      <c r="CI643" s="42">
        <f>23888.89+46978.13</f>
        <v>70867.01999999999</v>
      </c>
      <c r="CJ643" s="26">
        <f>SUM(BX643:CI643)</f>
        <v>443993.36</v>
      </c>
    </row>
    <row r="644" spans="3:88" ht="13.5" thickBot="1">
      <c r="C644" s="6" t="s">
        <v>96</v>
      </c>
      <c r="BX644" s="27">
        <f aca="true" t="shared" si="151" ref="BX644:CI644">SUM(BX641:BX643)</f>
        <v>0</v>
      </c>
      <c r="BY644" s="27">
        <f t="shared" si="151"/>
        <v>0</v>
      </c>
      <c r="BZ644" s="27">
        <f t="shared" si="151"/>
        <v>0</v>
      </c>
      <c r="CA644" s="27">
        <f t="shared" si="151"/>
        <v>0</v>
      </c>
      <c r="CB644" s="27">
        <f t="shared" si="151"/>
        <v>0</v>
      </c>
      <c r="CC644" s="27">
        <f t="shared" si="151"/>
        <v>0</v>
      </c>
      <c r="CD644" s="27">
        <f t="shared" si="151"/>
        <v>78444.51999999999</v>
      </c>
      <c r="CE644" s="27">
        <f t="shared" si="151"/>
        <v>78319.51999999999</v>
      </c>
      <c r="CF644" s="27">
        <f t="shared" si="151"/>
        <v>78319.51000000001</v>
      </c>
      <c r="CG644" s="27">
        <f t="shared" si="151"/>
        <v>72055.76999999999</v>
      </c>
      <c r="CH644" s="27">
        <f t="shared" si="151"/>
        <v>72055.76999999999</v>
      </c>
      <c r="CI644" s="43">
        <f t="shared" si="151"/>
        <v>72055.76999999999</v>
      </c>
      <c r="CJ644" s="31">
        <f>SUM(CJ641:CJ643)</f>
        <v>451250.86</v>
      </c>
    </row>
    <row r="645" spans="3:88" ht="12.75">
      <c r="C645" s="12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44"/>
      <c r="CJ645" s="28"/>
    </row>
    <row r="646" spans="1:88" ht="15.75">
      <c r="A646" s="16">
        <f>+A640+1</f>
        <v>76</v>
      </c>
      <c r="C646" s="5" t="s">
        <v>210</v>
      </c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44"/>
      <c r="CJ646" s="28"/>
    </row>
    <row r="647" spans="3:88" ht="12.75">
      <c r="C647" s="4" t="s">
        <v>3</v>
      </c>
      <c r="BX647" s="26">
        <v>0</v>
      </c>
      <c r="BY647" s="26">
        <v>0</v>
      </c>
      <c r="BZ647" s="26">
        <v>0</v>
      </c>
      <c r="CA647" s="26">
        <v>0</v>
      </c>
      <c r="CB647" s="26">
        <v>0</v>
      </c>
      <c r="CC647" s="26">
        <v>0</v>
      </c>
      <c r="CD647" s="26">
        <v>0</v>
      </c>
      <c r="CE647" s="26">
        <v>0</v>
      </c>
      <c r="CF647" s="26">
        <v>1210.45</v>
      </c>
      <c r="CG647" s="26">
        <v>1210.45</v>
      </c>
      <c r="CH647" s="26">
        <v>1210.45</v>
      </c>
      <c r="CI647" s="42">
        <v>1210.45</v>
      </c>
      <c r="CJ647" s="26">
        <f>SUM(BX647:CI647)</f>
        <v>4841.8</v>
      </c>
    </row>
    <row r="648" spans="3:88" ht="12.75">
      <c r="C648" s="4" t="s">
        <v>4</v>
      </c>
      <c r="BX648" s="48"/>
      <c r="BY648" s="48"/>
      <c r="BZ648" s="48"/>
      <c r="CA648" s="48"/>
      <c r="CB648" s="48"/>
      <c r="CC648" s="48"/>
      <c r="CD648" s="48"/>
      <c r="CE648" s="48"/>
      <c r="CF648" s="48">
        <v>83.33</v>
      </c>
      <c r="CG648" s="48"/>
      <c r="CH648" s="48"/>
      <c r="CI648" s="50"/>
      <c r="CJ648" s="26">
        <f>SUM(BX648:CI648)</f>
        <v>83.33</v>
      </c>
    </row>
    <row r="649" spans="3:88" ht="13.5" thickBot="1">
      <c r="C649" s="4" t="s">
        <v>5</v>
      </c>
      <c r="BX649" s="26">
        <v>0</v>
      </c>
      <c r="BY649" s="26">
        <v>0</v>
      </c>
      <c r="BZ649" s="26">
        <v>0</v>
      </c>
      <c r="CA649" s="26">
        <v>0</v>
      </c>
      <c r="CB649" s="26">
        <v>0</v>
      </c>
      <c r="CC649" s="26">
        <f>15454.55+63006.34-78460.89</f>
        <v>0</v>
      </c>
      <c r="CD649" s="26">
        <v>0</v>
      </c>
      <c r="CE649" s="26">
        <v>0</v>
      </c>
      <c r="CF649" s="26">
        <v>64736.39</v>
      </c>
      <c r="CG649" s="26">
        <v>64736.39</v>
      </c>
      <c r="CH649" s="26">
        <v>64736.39</v>
      </c>
      <c r="CI649" s="42">
        <v>56021.88</v>
      </c>
      <c r="CJ649" s="26">
        <f>SUM(BX649:CI649)</f>
        <v>250231.05</v>
      </c>
    </row>
    <row r="650" spans="3:88" ht="13.5" thickBot="1">
      <c r="C650" s="6" t="s">
        <v>209</v>
      </c>
      <c r="BX650" s="27">
        <f aca="true" t="shared" si="152" ref="BX650:CI650">SUM(BX647:BX649)</f>
        <v>0</v>
      </c>
      <c r="BY650" s="27">
        <f t="shared" si="152"/>
        <v>0</v>
      </c>
      <c r="BZ650" s="27">
        <f t="shared" si="152"/>
        <v>0</v>
      </c>
      <c r="CA650" s="27">
        <f t="shared" si="152"/>
        <v>0</v>
      </c>
      <c r="CB650" s="27">
        <f t="shared" si="152"/>
        <v>0</v>
      </c>
      <c r="CC650" s="27">
        <f t="shared" si="152"/>
        <v>0</v>
      </c>
      <c r="CD650" s="27">
        <f t="shared" si="152"/>
        <v>0</v>
      </c>
      <c r="CE650" s="27">
        <f t="shared" si="152"/>
        <v>0</v>
      </c>
      <c r="CF650" s="27">
        <f t="shared" si="152"/>
        <v>66030.17</v>
      </c>
      <c r="CG650" s="27">
        <f t="shared" si="152"/>
        <v>65946.84</v>
      </c>
      <c r="CH650" s="27">
        <f t="shared" si="152"/>
        <v>65946.84</v>
      </c>
      <c r="CI650" s="43">
        <f t="shared" si="152"/>
        <v>57232.329999999994</v>
      </c>
      <c r="CJ650" s="31">
        <f>SUM(CJ647:CJ649)</f>
        <v>255156.18</v>
      </c>
    </row>
    <row r="651" spans="3:88" ht="12.75">
      <c r="C651" s="12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44"/>
      <c r="CJ651" s="28"/>
    </row>
    <row r="652" spans="1:88" ht="15.75">
      <c r="A652" s="16">
        <f>+A646+1</f>
        <v>77</v>
      </c>
      <c r="C652" s="5" t="s">
        <v>214</v>
      </c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44"/>
      <c r="CJ652" s="28"/>
    </row>
    <row r="653" spans="3:88" ht="12.75">
      <c r="C653" s="4" t="s">
        <v>3</v>
      </c>
      <c r="BX653" s="26">
        <v>0</v>
      </c>
      <c r="BY653" s="26">
        <v>0</v>
      </c>
      <c r="BZ653" s="26">
        <v>0</v>
      </c>
      <c r="CA653" s="26">
        <v>0</v>
      </c>
      <c r="CB653" s="26">
        <v>0</v>
      </c>
      <c r="CC653" s="26">
        <v>0</v>
      </c>
      <c r="CD653" s="26">
        <v>0</v>
      </c>
      <c r="CE653" s="26">
        <v>0</v>
      </c>
      <c r="CF653" s="26">
        <v>0</v>
      </c>
      <c r="CG653" s="26">
        <v>0</v>
      </c>
      <c r="CH653" s="26">
        <v>0</v>
      </c>
      <c r="CI653" s="42">
        <v>0</v>
      </c>
      <c r="CJ653" s="26">
        <f>SUM(BX653:CI653)</f>
        <v>0</v>
      </c>
    </row>
    <row r="654" spans="3:88" ht="12.75">
      <c r="C654" s="4" t="s">
        <v>4</v>
      </c>
      <c r="BX654" s="48"/>
      <c r="BY654" s="48"/>
      <c r="BZ654" s="48"/>
      <c r="CA654" s="48"/>
      <c r="CB654" s="48"/>
      <c r="CC654" s="48"/>
      <c r="CD654" s="48"/>
      <c r="CE654" s="48"/>
      <c r="CF654" s="48"/>
      <c r="CG654" s="48">
        <v>62.5</v>
      </c>
      <c r="CH654" s="48"/>
      <c r="CI654" s="50"/>
      <c r="CJ654" s="26">
        <f>SUM(BX654:CI654)</f>
        <v>62.5</v>
      </c>
    </row>
    <row r="655" spans="3:88" ht="13.5" thickBot="1">
      <c r="C655" s="4" t="s">
        <v>5</v>
      </c>
      <c r="BX655" s="26">
        <v>0</v>
      </c>
      <c r="BY655" s="26">
        <v>0</v>
      </c>
      <c r="BZ655" s="26">
        <v>0</v>
      </c>
      <c r="CA655" s="26">
        <v>0</v>
      </c>
      <c r="CB655" s="26">
        <v>0</v>
      </c>
      <c r="CC655" s="26">
        <f>15454.55+63006.34-78460.89</f>
        <v>0</v>
      </c>
      <c r="CD655" s="26">
        <v>0</v>
      </c>
      <c r="CE655" s="26">
        <v>0</v>
      </c>
      <c r="CF655" s="26">
        <v>0</v>
      </c>
      <c r="CG655" s="26">
        <f>6250+151806.18</f>
        <v>158056.18</v>
      </c>
      <c r="CH655" s="26">
        <f>6250+151806.17</f>
        <v>158056.17</v>
      </c>
      <c r="CI655" s="42">
        <f>6250+115295.83</f>
        <v>121545.83</v>
      </c>
      <c r="CJ655" s="26">
        <f>SUM(BX655:CI655)</f>
        <v>437658.18</v>
      </c>
    </row>
    <row r="656" spans="3:88" ht="13.5" thickBot="1">
      <c r="C656" s="6" t="s">
        <v>215</v>
      </c>
      <c r="BX656" s="27">
        <f aca="true" t="shared" si="153" ref="BX656:CI656">SUM(BX653:BX655)</f>
        <v>0</v>
      </c>
      <c r="BY656" s="27">
        <f t="shared" si="153"/>
        <v>0</v>
      </c>
      <c r="BZ656" s="27">
        <f t="shared" si="153"/>
        <v>0</v>
      </c>
      <c r="CA656" s="27">
        <f t="shared" si="153"/>
        <v>0</v>
      </c>
      <c r="CB656" s="27">
        <f t="shared" si="153"/>
        <v>0</v>
      </c>
      <c r="CC656" s="27">
        <f t="shared" si="153"/>
        <v>0</v>
      </c>
      <c r="CD656" s="27">
        <f t="shared" si="153"/>
        <v>0</v>
      </c>
      <c r="CE656" s="27">
        <f t="shared" si="153"/>
        <v>0</v>
      </c>
      <c r="CF656" s="27">
        <f t="shared" si="153"/>
        <v>0</v>
      </c>
      <c r="CG656" s="27">
        <f t="shared" si="153"/>
        <v>158118.68</v>
      </c>
      <c r="CH656" s="27">
        <f t="shared" si="153"/>
        <v>158056.17</v>
      </c>
      <c r="CI656" s="43">
        <f t="shared" si="153"/>
        <v>121545.83</v>
      </c>
      <c r="CJ656" s="31">
        <f>SUM(CJ653:CJ655)</f>
        <v>437720.68</v>
      </c>
    </row>
    <row r="657" spans="3:88" ht="12.75">
      <c r="C657" s="12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44"/>
      <c r="CJ657" s="28"/>
    </row>
    <row r="658" spans="1:88" ht="15.75">
      <c r="A658" s="16">
        <f>+A652+1</f>
        <v>78</v>
      </c>
      <c r="C658" s="5" t="s">
        <v>216</v>
      </c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44"/>
      <c r="CJ658" s="28"/>
    </row>
    <row r="659" spans="3:88" ht="12.75">
      <c r="C659" s="4" t="s">
        <v>3</v>
      </c>
      <c r="BX659" s="26">
        <v>0</v>
      </c>
      <c r="BY659" s="26">
        <v>0</v>
      </c>
      <c r="BZ659" s="26">
        <v>0</v>
      </c>
      <c r="CA659" s="26">
        <v>0</v>
      </c>
      <c r="CB659" s="26">
        <v>0</v>
      </c>
      <c r="CC659" s="26">
        <v>0</v>
      </c>
      <c r="CD659" s="26">
        <v>0</v>
      </c>
      <c r="CE659" s="26">
        <v>0</v>
      </c>
      <c r="CF659" s="26">
        <v>0</v>
      </c>
      <c r="CG659" s="26">
        <v>0</v>
      </c>
      <c r="CH659" s="26">
        <v>0</v>
      </c>
      <c r="CI659" s="42">
        <v>0</v>
      </c>
      <c r="CJ659" s="26">
        <f>SUM(BX659:CI659)</f>
        <v>0</v>
      </c>
    </row>
    <row r="660" spans="3:88" ht="12.75">
      <c r="C660" s="4" t="s">
        <v>4</v>
      </c>
      <c r="BX660" s="48"/>
      <c r="BY660" s="48"/>
      <c r="BZ660" s="48"/>
      <c r="CA660" s="48"/>
      <c r="CB660" s="48"/>
      <c r="CC660" s="48"/>
      <c r="CD660" s="48"/>
      <c r="CE660" s="48"/>
      <c r="CF660" s="48"/>
      <c r="CG660" s="48"/>
      <c r="CH660" s="48">
        <v>41.67</v>
      </c>
      <c r="CI660" s="50"/>
      <c r="CJ660" s="26">
        <f>SUM(BX660:CI660)</f>
        <v>41.67</v>
      </c>
    </row>
    <row r="661" spans="3:88" ht="13.5" thickBot="1">
      <c r="C661" s="4" t="s">
        <v>5</v>
      </c>
      <c r="BX661" s="26">
        <v>0</v>
      </c>
      <c r="BY661" s="26">
        <v>0</v>
      </c>
      <c r="BZ661" s="26">
        <v>0</v>
      </c>
      <c r="CA661" s="26">
        <v>0</v>
      </c>
      <c r="CB661" s="26">
        <v>0</v>
      </c>
      <c r="CC661" s="26">
        <f>15454.55+63006.34-78460.89</f>
        <v>0</v>
      </c>
      <c r="CD661" s="26">
        <v>0</v>
      </c>
      <c r="CE661" s="26">
        <v>0</v>
      </c>
      <c r="CF661" s="26">
        <v>0</v>
      </c>
      <c r="CG661" s="26">
        <v>0</v>
      </c>
      <c r="CH661" s="26">
        <v>17272.73</v>
      </c>
      <c r="CI661" s="42">
        <v>17272.73</v>
      </c>
      <c r="CJ661" s="26">
        <f>SUM(BX661:CI661)</f>
        <v>34545.46</v>
      </c>
    </row>
    <row r="662" spans="3:88" ht="13.5" thickBot="1">
      <c r="C662" s="6" t="s">
        <v>217</v>
      </c>
      <c r="BX662" s="27">
        <f aca="true" t="shared" si="154" ref="BX662:CI662">SUM(BX659:BX661)</f>
        <v>0</v>
      </c>
      <c r="BY662" s="27">
        <f t="shared" si="154"/>
        <v>0</v>
      </c>
      <c r="BZ662" s="27">
        <f t="shared" si="154"/>
        <v>0</v>
      </c>
      <c r="CA662" s="27">
        <f t="shared" si="154"/>
        <v>0</v>
      </c>
      <c r="CB662" s="27">
        <f t="shared" si="154"/>
        <v>0</v>
      </c>
      <c r="CC662" s="27">
        <f t="shared" si="154"/>
        <v>0</v>
      </c>
      <c r="CD662" s="27">
        <f t="shared" si="154"/>
        <v>0</v>
      </c>
      <c r="CE662" s="27">
        <f t="shared" si="154"/>
        <v>0</v>
      </c>
      <c r="CF662" s="27">
        <f t="shared" si="154"/>
        <v>0</v>
      </c>
      <c r="CG662" s="27">
        <f t="shared" si="154"/>
        <v>0</v>
      </c>
      <c r="CH662" s="27">
        <f t="shared" si="154"/>
        <v>17314.399999999998</v>
      </c>
      <c r="CI662" s="43">
        <f t="shared" si="154"/>
        <v>17272.73</v>
      </c>
      <c r="CJ662" s="31">
        <f>SUM(CJ659:CJ661)</f>
        <v>34587.13</v>
      </c>
    </row>
    <row r="663" spans="3:88" ht="12.75">
      <c r="C663" s="12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44"/>
      <c r="CJ663" s="28"/>
    </row>
    <row r="664" spans="1:88" ht="15.75">
      <c r="A664" s="16">
        <f>+A658+1</f>
        <v>79</v>
      </c>
      <c r="C664" s="5" t="s">
        <v>218</v>
      </c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44"/>
      <c r="CJ664" s="28"/>
    </row>
    <row r="665" spans="3:88" ht="12.75">
      <c r="C665" s="4" t="s">
        <v>3</v>
      </c>
      <c r="BX665" s="26">
        <v>0</v>
      </c>
      <c r="BY665" s="26">
        <v>0</v>
      </c>
      <c r="BZ665" s="26">
        <v>0</v>
      </c>
      <c r="CA665" s="26">
        <v>0</v>
      </c>
      <c r="CB665" s="26">
        <v>0</v>
      </c>
      <c r="CC665" s="26">
        <v>0</v>
      </c>
      <c r="CD665" s="26">
        <v>0</v>
      </c>
      <c r="CE665" s="26">
        <v>0</v>
      </c>
      <c r="CF665" s="26">
        <v>0</v>
      </c>
      <c r="CG665" s="26">
        <v>0</v>
      </c>
      <c r="CH665" s="26">
        <v>0</v>
      </c>
      <c r="CI665" s="42">
        <v>0</v>
      </c>
      <c r="CJ665" s="26">
        <f>SUM(BX665:CI665)</f>
        <v>0</v>
      </c>
    </row>
    <row r="666" spans="3:88" ht="12.75">
      <c r="C666" s="4" t="s">
        <v>4</v>
      </c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>
        <v>41.67</v>
      </c>
      <c r="CI666" s="50"/>
      <c r="CJ666" s="26">
        <f>SUM(BX666:CI666)</f>
        <v>41.67</v>
      </c>
    </row>
    <row r="667" spans="3:88" ht="13.5" thickBot="1">
      <c r="C667" s="4" t="s">
        <v>5</v>
      </c>
      <c r="BX667" s="26">
        <v>0</v>
      </c>
      <c r="BY667" s="26">
        <v>0</v>
      </c>
      <c r="BZ667" s="26">
        <v>0</v>
      </c>
      <c r="CA667" s="26">
        <v>0</v>
      </c>
      <c r="CB667" s="26">
        <v>0</v>
      </c>
      <c r="CC667" s="26">
        <f>15454.55+63006.34-78460.89</f>
        <v>0</v>
      </c>
      <c r="CD667" s="26">
        <v>0</v>
      </c>
      <c r="CE667" s="26">
        <v>0</v>
      </c>
      <c r="CF667" s="26">
        <v>0</v>
      </c>
      <c r="CG667" s="26">
        <v>0</v>
      </c>
      <c r="CH667" s="26">
        <f>38690.16-9648.37</f>
        <v>29041.79</v>
      </c>
      <c r="CI667" s="42">
        <v>43470</v>
      </c>
      <c r="CJ667" s="26">
        <f>SUM(BX667:CI667)</f>
        <v>72511.79000000001</v>
      </c>
    </row>
    <row r="668" spans="3:88" ht="13.5" thickBot="1">
      <c r="C668" s="6" t="s">
        <v>52</v>
      </c>
      <c r="BX668" s="27">
        <f aca="true" t="shared" si="155" ref="BX668:CI668">SUM(BX665:BX667)</f>
        <v>0</v>
      </c>
      <c r="BY668" s="27">
        <f t="shared" si="155"/>
        <v>0</v>
      </c>
      <c r="BZ668" s="27">
        <f t="shared" si="155"/>
        <v>0</v>
      </c>
      <c r="CA668" s="27">
        <f t="shared" si="155"/>
        <v>0</v>
      </c>
      <c r="CB668" s="27">
        <f t="shared" si="155"/>
        <v>0</v>
      </c>
      <c r="CC668" s="27">
        <f t="shared" si="155"/>
        <v>0</v>
      </c>
      <c r="CD668" s="27">
        <f t="shared" si="155"/>
        <v>0</v>
      </c>
      <c r="CE668" s="27">
        <f t="shared" si="155"/>
        <v>0</v>
      </c>
      <c r="CF668" s="27">
        <f t="shared" si="155"/>
        <v>0</v>
      </c>
      <c r="CG668" s="27">
        <f t="shared" si="155"/>
        <v>0</v>
      </c>
      <c r="CH668" s="27">
        <f t="shared" si="155"/>
        <v>29083.46</v>
      </c>
      <c r="CI668" s="43">
        <f t="shared" si="155"/>
        <v>43470</v>
      </c>
      <c r="CJ668" s="31">
        <f>SUM(CJ665:CJ667)</f>
        <v>72553.46</v>
      </c>
    </row>
    <row r="669" spans="3:88" ht="12.75">
      <c r="C669" s="12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44"/>
      <c r="CJ669" s="28"/>
    </row>
    <row r="670" ht="15.75">
      <c r="C670" s="5" t="s">
        <v>41</v>
      </c>
    </row>
    <row r="671" spans="3:88" ht="15.75">
      <c r="C671" s="4" t="s">
        <v>197</v>
      </c>
      <c r="BX671" s="29">
        <f>SUM(BX5,BX11,BX17,BX23,BX29,BX35,BX41,BX47,BX53,BX59,BX65,BX71,BX77,BX83,BX89,BX95,BX101,BX107,BX113,BX119,BX125,BX131,BX137,BX143,BX149,BX155,BX161,BX167,BX173,BX179)+SUM(BX185,BX191,BX197,BX203,BX209,BX215,BX221,BX227,BX233,BX239,BX245,BX251,BX257,BX263,BX269,BX275,BX281,BX287,BX293,BX299,BX305,BX311,BX317,BX323,BX329,BX335,BX341,BX347,BX353,BX359)+SUM(BX365,BX371,BX377,BX383,BX389,BX395,BX401,BX407,BX413,BX419,BX425,BX431,BX437,BX443,BX449,BX455,BX461,BX467,BX473,BX479,BX485,BX491,BX497,BX503,BX509,BX515,BX521,BX527,BX533,BX539)+SUM(BX545,BX551,BX557,BX563,BX569,BX575,BX581,BX587,BX593,BX599,BX605,BX611,BX617,BX623,BX629,BX635,BX641,BX647,BX653,BX659,BX665)</f>
        <v>32842.77</v>
      </c>
      <c r="BY671" s="29">
        <f aca="true" t="shared" si="156" ref="BY671:CI671">SUM(BY5,BY11,BY17,BY23,BY29,BY35,BY41,BY47,BY53,BY59,BY65,BY71,BY77,BY83,BY89,BY95,BY101,BY107,BY113,BY119,BY125,BY131,BY137,BY143,BY149,BY155,BY161,BY167,BY173,BY179)+SUM(BY185,BY191,BY197,BY203,BY209,BY215,BY221,BY227,BY233,BY239,BY245,BY251,BY257,BY263,BY269,BY275,BY281,BY287,BY293,BY299,BY305,BY311,BY317,BY323,BY329,BY335,BY341,BY347,BY353,BY359)+SUM(BY365,BY371,BY377,BY383,BY389,BY395,BY401,BY407,BY413,BY419,BY425,BY431,BY437,BY443,BY449,BY455,BY461,BY467,BY473,BY479,BY485,BY491,BY497,BY503,BY509,BY515,BY521,BY527,BY533,BY539)+SUM(BY545,BY551,BY557,BY563,BY569,BY575,BY581,BY587,BY593,BY599,BY605,BY611,BY617,BY623,BY629,BY635,BY641,BY647,BY653,BY659,BY665)</f>
        <v>31592.339999999997</v>
      </c>
      <c r="BZ671" s="29">
        <f t="shared" si="156"/>
        <v>41396.52</v>
      </c>
      <c r="CA671" s="29">
        <f t="shared" si="156"/>
        <v>50824.009999999995</v>
      </c>
      <c r="CB671" s="29">
        <f t="shared" si="156"/>
        <v>42101.09</v>
      </c>
      <c r="CC671" s="29">
        <f t="shared" si="156"/>
        <v>42070.26</v>
      </c>
      <c r="CD671" s="29">
        <f t="shared" si="156"/>
        <v>34056.53</v>
      </c>
      <c r="CE671" s="29">
        <f t="shared" si="156"/>
        <v>33599.42999999999</v>
      </c>
      <c r="CF671" s="29">
        <f t="shared" si="156"/>
        <v>33754.46</v>
      </c>
      <c r="CG671" s="29">
        <f t="shared" si="156"/>
        <v>32348.2</v>
      </c>
      <c r="CH671" s="29">
        <f t="shared" si="156"/>
        <v>31571.530000000002</v>
      </c>
      <c r="CI671" s="45">
        <f t="shared" si="156"/>
        <v>31451.350000000002</v>
      </c>
      <c r="CJ671" s="29">
        <f>SUM(BX671:CI671)</f>
        <v>437608.49000000005</v>
      </c>
    </row>
    <row r="672" spans="3:88" ht="15.75">
      <c r="C672" s="4" t="s">
        <v>198</v>
      </c>
      <c r="BX672" s="29">
        <f>SUM(BX6,BX12,BX18,BX24,BX30,BX36,BX42,BX48,BX54,BX60,BX66,BX72,BX78,BX84,BX90,BX96,BX102,BX108,BX114,BX120,BX126,BX132,BX138,BX144,BX150,BX156,BX162,BX168,BX174,BX180)+SUM(BX186,BX192,BX198,BX204,BX210,BX216,BX222,BX228,BX234,BX240,BX246,BX252,BX258,BX264,BX270,BX276,BX282,BX288,BX294,BX300,BX306,BX312,BX318,BX324,BX330,BX336,BX342,BX348,BX354,BX360)+SUM(BX366,BX372,BX378,BX384,BX390,BX396,BX402,BX408,,BX414,BX420,BX426,BX432,BX438,BX444,BX450,BX456,BX462,BX468,BX474,BX480,BX486,BX492,BX498,BX504,BX510,BX516,BX522,BX528,BX534)+SUM(BX540,BX546,BX552,BX558,BX564,BX570,BX576,BX582,BX588,BX594,BX600,BX606,BX612,BX618,BX624,BX630,BX636,BX642,BX648,BX654,BX660,BX666)</f>
        <v>18999.989999999998</v>
      </c>
      <c r="BY672" s="29">
        <f aca="true" t="shared" si="157" ref="BY672:CI672">SUM(BY6,BY12,BY18,BY24,BY30,BY36,BY42,BY48,BY54,BY60,BY66,BY72,BY78,BY84,BY90,BY96,BY102,BY108,BY114,BY120,BY126,BY132,BY138,BY144,BY150,BY156,BY162,BY168,BY174,BY180)+SUM(BY186,BY192,BY198,BY204,BY210,BY216,BY222,BY228,BY234,BY240,BY246,BY252,BY258,BY264,BY270,BY276,BY282,BY288,BY294,BY300,BY306,BY312,BY318,BY324,BY330,BY336,BY342,BY348,BY354,BY360)+SUM(BY366,BY372,BY378,BY384,BY390,BY396,BY402,BY408,,BY414,BY420,BY426,BY432,BY438,BY444,BY450,BY456,BY462,BY468,BY474,BY480,BY486,BY492,BY498,BY504,BY510,BY516,BY522,BY528,BY534)+SUM(BY540,BY546,BY552,BY558,BY564,BY570,BY576,BY582,BY588,BY594,BY600,BY606,BY612,BY618,BY624,BY630,BY636,BY642,BY648,BY654,BY660,BY666)</f>
        <v>687.51</v>
      </c>
      <c r="BZ672" s="29">
        <f t="shared" si="157"/>
        <v>208.33</v>
      </c>
      <c r="CA672" s="29">
        <f t="shared" si="157"/>
        <v>187.5</v>
      </c>
      <c r="CB672" s="29">
        <f t="shared" si="157"/>
        <v>166.67</v>
      </c>
      <c r="CC672" s="29">
        <f t="shared" si="157"/>
        <v>291.66</v>
      </c>
      <c r="CD672" s="29">
        <f t="shared" si="157"/>
        <v>250</v>
      </c>
      <c r="CE672" s="29">
        <f t="shared" si="157"/>
        <v>0</v>
      </c>
      <c r="CF672" s="29">
        <f t="shared" si="157"/>
        <v>83.33</v>
      </c>
      <c r="CG672" s="29">
        <f t="shared" si="157"/>
        <v>62.5</v>
      </c>
      <c r="CH672" s="29">
        <f t="shared" si="157"/>
        <v>83.34</v>
      </c>
      <c r="CI672" s="45">
        <f t="shared" si="157"/>
        <v>0</v>
      </c>
      <c r="CJ672" s="29">
        <f>SUM(BX672:CI672)</f>
        <v>21020.829999999998</v>
      </c>
    </row>
    <row r="673" spans="3:88" ht="15.75">
      <c r="C673" s="4" t="s">
        <v>199</v>
      </c>
      <c r="BX673" s="29">
        <f>SUM(BX7,BX13,BX19,BX25,BX31,BX37,BX43,BX49,BX55,BX61,BX67,BX73,BX79,BX85,BX91,BX97,BX103,BX109,BX115,BX121,BX127,BX133,BX139,BX145,BX151,BX157,BX163,BX169,BX175,BX181)+SUM(BX187,BX193,BX199,BX205,BX211,BX217,BX223,BX229,BX235,BX241,BX247,BX253,BX259,BX265,BX271,BX277,BX283,BX289,BX295,BX301,BX307,BX313,BX319,BX325,BX331,BX337,BX343,BX349,BX355,BX361)+SUM(BX367,BX373,BX379,BX385,BX391,BX397,BX403,BX409,BX415,BX421,BX427,BX433,BX439,BX445,BX451,BX457,BX463,BX469,BX475,BX481,BX487,BX493,BX499,BX505,BX511,BX517,BX523,BX529,BX535,BX541)+SUM(BX547,BX553,BX559,BX565,BX571,BX577,BX583,BX589,BX595,BX601,BX607,BX613,BX619,BX625,BX631,BX637,BX643,BX649,BX655,BX661,BX667)</f>
        <v>4214154.029999999</v>
      </c>
      <c r="BY673" s="29">
        <f aca="true" t="shared" si="158" ref="BY673:CI674">SUM(BY7,BY13,BY19,BY25,BY31,BY37,BY43,BY49,BY55,BY61,BY67,BY73,BY79,BY85,BY91,BY97,BY103,BY109,BY115,BY121,BY127,BY133,BY139,BY145,BY151,BY157,BY163,BY169,BY175,BY181)+SUM(BY187,BY193,BY199,BY205,BY211,BY217,BY223,BY229,BY235,BY241,BY247,BY253,BY259,BY265,BY271,BY277,BY283,BY289,BY295,BY301,BY307,BY313,BY319,BY325,BY331,BY337,BY343,BY349,BY355,BY361)+SUM(BY367,BY373,BY379,BY385,BY391,BY397,BY403,BY409,BY415,BY421,BY427,BY433,BY439,BY445,BY451,BY457,BY463,BY469,BY475,BY481,BY487,BY493,BY499,BY505,BY511,BY517,BY523,BY529,BY535,BY541)+SUM(BY547,BY553,BY559,BY565,BY571,BY577,BY583,BY589,BY595,BY601,BY607,BY613,BY619,BY625,BY631,BY637,BY643,BY649,BY655,BY661,BY667)</f>
        <v>4261485.199999999</v>
      </c>
      <c r="BZ673" s="29">
        <f t="shared" si="158"/>
        <v>4279429.79</v>
      </c>
      <c r="CA673" s="29">
        <f t="shared" si="158"/>
        <v>4364778.22</v>
      </c>
      <c r="CB673" s="29">
        <f t="shared" si="158"/>
        <v>4414757.0600000005</v>
      </c>
      <c r="CC673" s="29">
        <f t="shared" si="158"/>
        <v>4455880.664</v>
      </c>
      <c r="CD673" s="29">
        <f t="shared" si="158"/>
        <v>4522236.3440000005</v>
      </c>
      <c r="CE673" s="29">
        <f t="shared" si="158"/>
        <v>4518775.974</v>
      </c>
      <c r="CF673" s="29">
        <f t="shared" si="158"/>
        <v>4486276.233999999</v>
      </c>
      <c r="CG673" s="29">
        <f t="shared" si="158"/>
        <v>4469063.2639999995</v>
      </c>
      <c r="CH673" s="29">
        <f t="shared" si="158"/>
        <v>4456837.9399999995</v>
      </c>
      <c r="CI673" s="45">
        <f t="shared" si="158"/>
        <v>4426784.829999999</v>
      </c>
      <c r="CJ673" s="29">
        <f>SUM(BX673:CI673)</f>
        <v>52870459.54999999</v>
      </c>
    </row>
    <row r="674" spans="3:88" ht="15.75">
      <c r="C674" s="22" t="s">
        <v>200</v>
      </c>
      <c r="BX674" s="29">
        <f>SUM(BX8,BX14,BX20,BX26,BX32,BX38,BX44,BX50,BX56,BX62,BX68,BX74,BX80,BX86,BX92,BX98,BX104,BX110,BX116,BX122,BX128,BX134,BX140,BX146,BX152,BX158,BX164,BX170,BX176,BX182)+SUM(BX188,BX194,BX200,BX206,BX212,BX218,BX224,BX230,BX236,BX242,BX248,BX254,BX260,BX266,BX272,BX278,BX284,BX290,BX296,BX302,BX308,BX314,BX320,BX326,BX332,BX338,BX344,BX350,BX356,BX362)+SUM(BX368,BX374,BX380,BX386,BX392,BX398,BX404,BX410,BX416,BX422,BX428,BX434,BX440,BX446,BX452,BX458,BX464,BX470,BX476,BX482,BX488,BX494,BX500,BX506,BX512,BX518,BX524,BX530,BX536,BX542)+SUM(BX548,BX554,BX560,BX566,BX572,BX578,BX584,BX590,BX596,BX602,BX608,BX614,BX620,BX626,BX632,BX638,BX644,BX650,BX656,BX662,BX668)</f>
        <v>4265996.79</v>
      </c>
      <c r="BY674" s="29">
        <f t="shared" si="158"/>
        <v>4293765.05</v>
      </c>
      <c r="BZ674" s="29">
        <f t="shared" si="158"/>
        <v>4321034.640000001</v>
      </c>
      <c r="CA674" s="29">
        <f t="shared" si="158"/>
        <v>4415789.7299999995</v>
      </c>
      <c r="CB674" s="29">
        <f t="shared" si="158"/>
        <v>4457024.82</v>
      </c>
      <c r="CC674" s="29">
        <f t="shared" si="158"/>
        <v>4498242.584000001</v>
      </c>
      <c r="CD674" s="29">
        <f t="shared" si="158"/>
        <v>4556542.874000001</v>
      </c>
      <c r="CE674" s="29">
        <f t="shared" si="158"/>
        <v>4552375.404</v>
      </c>
      <c r="CF674" s="29">
        <f t="shared" si="158"/>
        <v>4520114.024</v>
      </c>
      <c r="CG674" s="29">
        <f t="shared" si="158"/>
        <v>4501473.964000001</v>
      </c>
      <c r="CH674" s="29">
        <f t="shared" si="158"/>
        <v>4488492.81</v>
      </c>
      <c r="CI674" s="45">
        <f t="shared" si="158"/>
        <v>4458236.180000001</v>
      </c>
      <c r="CJ674" s="29">
        <f>SUM(BX674:CI674)</f>
        <v>53329088.87000001</v>
      </c>
    </row>
    <row r="675" ht="12.75">
      <c r="C675" s="4"/>
    </row>
    <row r="676" spans="2:3" ht="21">
      <c r="B676" s="7" t="s">
        <v>104</v>
      </c>
      <c r="C676" s="23" t="s">
        <v>84</v>
      </c>
    </row>
    <row r="677" spans="2:3" ht="21">
      <c r="B677" s="9" t="s">
        <v>105</v>
      </c>
      <c r="C677" s="24" t="s">
        <v>61</v>
      </c>
    </row>
    <row r="678" spans="2:3" ht="21">
      <c r="B678" s="33" t="s">
        <v>103</v>
      </c>
      <c r="C678" s="37" t="s">
        <v>56</v>
      </c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jozwiakc</cp:lastModifiedBy>
  <cp:lastPrinted>2005-05-31T15:38:03Z</cp:lastPrinted>
  <dcterms:created xsi:type="dcterms:W3CDTF">2005-05-31T15:34:27Z</dcterms:created>
  <dcterms:modified xsi:type="dcterms:W3CDTF">2015-06-08T17:12:46Z</dcterms:modified>
  <cp:category/>
  <cp:version/>
  <cp:contentType/>
  <cp:contentStatus/>
</cp:coreProperties>
</file>