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J:\PAYMENTS\PSFA24\Charter Intercept\"/>
    </mc:Choice>
  </mc:AlternateContent>
  <xr:revisionPtr revIDLastSave="0" documentId="8_{1B8135B5-35FF-4F3E-A38D-78E6FB0367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yment summary2" sheetId="1" r:id="rId1"/>
  </sheets>
  <definedNames>
    <definedName name="_Fill" hidden="1">#REF!</definedName>
    <definedName name="_xlnm.Print_Area" localSheetId="0">'payment summary2'!$AN$17:$AN$1002</definedName>
    <definedName name="_xlnm.Print_Titles" localSheetId="0">'payment summary2'!$A:$C,'payment summary2'!$1:$3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996" i="1" l="1"/>
  <c r="AN996" i="1"/>
  <c r="AM996" i="1"/>
  <c r="AL996" i="1"/>
  <c r="AK996" i="1"/>
  <c r="AJ996" i="1"/>
  <c r="AI996" i="1"/>
  <c r="AH996" i="1"/>
  <c r="AG996" i="1"/>
  <c r="AF996" i="1"/>
  <c r="AE996" i="1"/>
  <c r="AB996" i="1"/>
  <c r="AA996" i="1"/>
  <c r="Z996" i="1"/>
  <c r="Y996" i="1"/>
  <c r="X996" i="1"/>
  <c r="W996" i="1"/>
  <c r="V996" i="1"/>
  <c r="U996" i="1"/>
  <c r="T996" i="1"/>
  <c r="S996" i="1"/>
  <c r="R996" i="1"/>
  <c r="N996" i="1"/>
  <c r="M996" i="1"/>
  <c r="L996" i="1"/>
  <c r="K996" i="1"/>
  <c r="J996" i="1"/>
  <c r="I996" i="1"/>
  <c r="H996" i="1"/>
  <c r="G996" i="1"/>
  <c r="F996" i="1"/>
  <c r="E996" i="1"/>
  <c r="D996" i="1"/>
  <c r="AO995" i="1"/>
  <c r="AN995" i="1"/>
  <c r="AM995" i="1"/>
  <c r="AL995" i="1"/>
  <c r="AK995" i="1"/>
  <c r="AJ995" i="1"/>
  <c r="AI995" i="1"/>
  <c r="AH995" i="1"/>
  <c r="AG995" i="1"/>
  <c r="AF995" i="1"/>
  <c r="AE995" i="1"/>
  <c r="AD995" i="1"/>
  <c r="AB995" i="1"/>
  <c r="AA995" i="1"/>
  <c r="Z995" i="1"/>
  <c r="Y995" i="1"/>
  <c r="X995" i="1"/>
  <c r="W995" i="1"/>
  <c r="V995" i="1"/>
  <c r="U995" i="1"/>
  <c r="T995" i="1"/>
  <c r="S995" i="1"/>
  <c r="R995" i="1"/>
  <c r="Q995" i="1"/>
  <c r="O995" i="1"/>
  <c r="N995" i="1"/>
  <c r="M995" i="1"/>
  <c r="L995" i="1"/>
  <c r="K995" i="1"/>
  <c r="J995" i="1"/>
  <c r="I995" i="1"/>
  <c r="G995" i="1"/>
  <c r="F995" i="1"/>
  <c r="E995" i="1"/>
  <c r="D995" i="1"/>
  <c r="AO992" i="1"/>
  <c r="AN992" i="1"/>
  <c r="AM992" i="1"/>
  <c r="AL992" i="1"/>
  <c r="AK992" i="1"/>
  <c r="AJ992" i="1"/>
  <c r="AP991" i="1"/>
  <c r="AP990" i="1"/>
  <c r="AP989" i="1"/>
  <c r="AO986" i="1"/>
  <c r="AN986" i="1"/>
  <c r="AM986" i="1"/>
  <c r="AL986" i="1"/>
  <c r="AK986" i="1"/>
  <c r="AJ986" i="1"/>
  <c r="AP985" i="1"/>
  <c r="AP984" i="1"/>
  <c r="AP983" i="1"/>
  <c r="AO980" i="1"/>
  <c r="AN980" i="1"/>
  <c r="AM980" i="1"/>
  <c r="AL980" i="1"/>
  <c r="AK980" i="1"/>
  <c r="AJ980" i="1"/>
  <c r="AI980" i="1"/>
  <c r="AP979" i="1"/>
  <c r="AP978" i="1"/>
  <c r="AP977" i="1"/>
  <c r="AO974" i="1"/>
  <c r="AN974" i="1"/>
  <c r="AM974" i="1"/>
  <c r="AL974" i="1"/>
  <c r="AK974" i="1"/>
  <c r="AJ974" i="1"/>
  <c r="AI974" i="1"/>
  <c r="AH974" i="1"/>
  <c r="AG974" i="1"/>
  <c r="AF974" i="1"/>
  <c r="AE974" i="1"/>
  <c r="AD974" i="1"/>
  <c r="AP973" i="1"/>
  <c r="AP972" i="1"/>
  <c r="AP971" i="1"/>
  <c r="AO968" i="1"/>
  <c r="AN968" i="1"/>
  <c r="AM968" i="1"/>
  <c r="AL968" i="1"/>
  <c r="AK968" i="1"/>
  <c r="AJ968" i="1"/>
  <c r="AI968" i="1"/>
  <c r="AH968" i="1"/>
  <c r="AG968" i="1"/>
  <c r="AF968" i="1"/>
  <c r="AE968" i="1"/>
  <c r="AD968" i="1"/>
  <c r="AP967" i="1"/>
  <c r="AP966" i="1"/>
  <c r="AP965" i="1"/>
  <c r="A964" i="1"/>
  <c r="A970" i="1" s="1"/>
  <c r="AO962" i="1"/>
  <c r="AN962" i="1"/>
  <c r="AM962" i="1"/>
  <c r="AL962" i="1"/>
  <c r="AK962" i="1"/>
  <c r="AJ962" i="1"/>
  <c r="AI962" i="1"/>
  <c r="AH962" i="1"/>
  <c r="AG962" i="1"/>
  <c r="AF962" i="1"/>
  <c r="AE962" i="1"/>
  <c r="AD962" i="1"/>
  <c r="AP961" i="1"/>
  <c r="AP960" i="1"/>
  <c r="AP959" i="1"/>
  <c r="AO956" i="1"/>
  <c r="AN956" i="1"/>
  <c r="AP955" i="1"/>
  <c r="AP954" i="1"/>
  <c r="AP953" i="1"/>
  <c r="AO950" i="1"/>
  <c r="AN950" i="1"/>
  <c r="AM950" i="1"/>
  <c r="AL950" i="1"/>
  <c r="AK950" i="1"/>
  <c r="AJ950" i="1"/>
  <c r="AI950" i="1"/>
  <c r="AH950" i="1"/>
  <c r="AG950" i="1"/>
  <c r="AF950" i="1"/>
  <c r="AE950" i="1"/>
  <c r="AD950" i="1"/>
  <c r="AP949" i="1"/>
  <c r="AP948" i="1"/>
  <c r="AP947" i="1"/>
  <c r="AO944" i="1"/>
  <c r="AN944" i="1"/>
  <c r="AM944" i="1"/>
  <c r="AL944" i="1"/>
  <c r="AK944" i="1"/>
  <c r="AJ944" i="1"/>
  <c r="AI944" i="1"/>
  <c r="AH944" i="1"/>
  <c r="AG944" i="1"/>
  <c r="AF944" i="1"/>
  <c r="AE944" i="1"/>
  <c r="AD944" i="1"/>
  <c r="AP943" i="1"/>
  <c r="AP942" i="1"/>
  <c r="AP941" i="1"/>
  <c r="AO938" i="1"/>
  <c r="AN938" i="1"/>
  <c r="AM938" i="1"/>
  <c r="AL938" i="1"/>
  <c r="AK938" i="1"/>
  <c r="AJ938" i="1"/>
  <c r="AI938" i="1"/>
  <c r="AH938" i="1"/>
  <c r="AG938" i="1"/>
  <c r="AF938" i="1"/>
  <c r="AE938" i="1"/>
  <c r="AD938" i="1"/>
  <c r="AB938" i="1"/>
  <c r="AA938" i="1"/>
  <c r="Z938" i="1"/>
  <c r="Y938" i="1"/>
  <c r="X938" i="1"/>
  <c r="W938" i="1"/>
  <c r="V938" i="1"/>
  <c r="U938" i="1"/>
  <c r="T938" i="1"/>
  <c r="S938" i="1"/>
  <c r="R938" i="1"/>
  <c r="Q938" i="1"/>
  <c r="AP937" i="1"/>
  <c r="AC937" i="1"/>
  <c r="AP936" i="1"/>
  <c r="AC936" i="1"/>
  <c r="AP935" i="1"/>
  <c r="AC935" i="1"/>
  <c r="AO932" i="1"/>
  <c r="AN932" i="1"/>
  <c r="AM932" i="1"/>
  <c r="AL932" i="1"/>
  <c r="AK932" i="1"/>
  <c r="AJ932" i="1"/>
  <c r="AI932" i="1"/>
  <c r="AH932" i="1"/>
  <c r="AG932" i="1"/>
  <c r="AF932" i="1"/>
  <c r="AE932" i="1"/>
  <c r="AD932" i="1"/>
  <c r="AB932" i="1"/>
  <c r="AA932" i="1"/>
  <c r="Z932" i="1"/>
  <c r="Y932" i="1"/>
  <c r="X932" i="1"/>
  <c r="W932" i="1"/>
  <c r="V932" i="1"/>
  <c r="U932" i="1"/>
  <c r="T932" i="1"/>
  <c r="S932" i="1"/>
  <c r="R932" i="1"/>
  <c r="Q932" i="1"/>
  <c r="AP931" i="1"/>
  <c r="AC931" i="1"/>
  <c r="AP930" i="1"/>
  <c r="AC930" i="1"/>
  <c r="AP929" i="1"/>
  <c r="AP932" i="1" s="1"/>
  <c r="AC929" i="1"/>
  <c r="AO926" i="1"/>
  <c r="AN926" i="1"/>
  <c r="AM926" i="1"/>
  <c r="AL926" i="1"/>
  <c r="AK926" i="1"/>
  <c r="AJ926" i="1"/>
  <c r="AI926" i="1"/>
  <c r="AH926" i="1"/>
  <c r="AG926" i="1"/>
  <c r="AF926" i="1"/>
  <c r="AE926" i="1"/>
  <c r="AD926" i="1"/>
  <c r="AB926" i="1"/>
  <c r="AA926" i="1"/>
  <c r="Z926" i="1"/>
  <c r="Y926" i="1"/>
  <c r="X926" i="1"/>
  <c r="W926" i="1"/>
  <c r="V926" i="1"/>
  <c r="U926" i="1"/>
  <c r="T926" i="1"/>
  <c r="S926" i="1"/>
  <c r="R926" i="1"/>
  <c r="Q926" i="1"/>
  <c r="AP925" i="1"/>
  <c r="AC925" i="1"/>
  <c r="AP924" i="1"/>
  <c r="AC924" i="1"/>
  <c r="AP923" i="1"/>
  <c r="AC923" i="1"/>
  <c r="AH920" i="1"/>
  <c r="AG920" i="1"/>
  <c r="AF920" i="1"/>
  <c r="AE920" i="1"/>
  <c r="AD920" i="1"/>
  <c r="AB920" i="1"/>
  <c r="AA920" i="1"/>
  <c r="Z920" i="1"/>
  <c r="Y920" i="1"/>
  <c r="X920" i="1"/>
  <c r="W920" i="1"/>
  <c r="V920" i="1"/>
  <c r="U920" i="1"/>
  <c r="T920" i="1"/>
  <c r="S920" i="1"/>
  <c r="R920" i="1"/>
  <c r="Q920" i="1"/>
  <c r="AO919" i="1"/>
  <c r="AO920" i="1" s="1"/>
  <c r="AN919" i="1"/>
  <c r="AM919" i="1"/>
  <c r="AM920" i="1" s="1"/>
  <c r="AL919" i="1"/>
  <c r="AL920" i="1" s="1"/>
  <c r="AK919" i="1"/>
  <c r="AK920" i="1" s="1"/>
  <c r="AJ919" i="1"/>
  <c r="AJ920" i="1" s="1"/>
  <c r="AI919" i="1"/>
  <c r="AI920" i="1" s="1"/>
  <c r="AC919" i="1"/>
  <c r="AP918" i="1"/>
  <c r="AC918" i="1"/>
  <c r="AC920" i="1" s="1"/>
  <c r="AP917" i="1"/>
  <c r="AC917" i="1"/>
  <c r="AO914" i="1"/>
  <c r="AN914" i="1"/>
  <c r="AM914" i="1"/>
  <c r="AL914" i="1"/>
  <c r="AK914" i="1"/>
  <c r="AJ914" i="1"/>
  <c r="AI914" i="1"/>
  <c r="AH914" i="1"/>
  <c r="AG914" i="1"/>
  <c r="AF914" i="1"/>
  <c r="AE914" i="1"/>
  <c r="AD914" i="1"/>
  <c r="AB914" i="1"/>
  <c r="AA914" i="1"/>
  <c r="Z914" i="1"/>
  <c r="Y914" i="1"/>
  <c r="X914" i="1"/>
  <c r="W914" i="1"/>
  <c r="V914" i="1"/>
  <c r="U914" i="1"/>
  <c r="T914" i="1"/>
  <c r="S914" i="1"/>
  <c r="R914" i="1"/>
  <c r="Q914" i="1"/>
  <c r="AP913" i="1"/>
  <c r="AC913" i="1"/>
  <c r="AP912" i="1"/>
  <c r="AC912" i="1"/>
  <c r="AP911" i="1"/>
  <c r="AC911" i="1"/>
  <c r="AB908" i="1"/>
  <c r="AA908" i="1"/>
  <c r="Z908" i="1"/>
  <c r="Y908" i="1"/>
  <c r="X908" i="1"/>
  <c r="W908" i="1"/>
  <c r="V908" i="1"/>
  <c r="U908" i="1"/>
  <c r="T908" i="1"/>
  <c r="S908" i="1"/>
  <c r="R908" i="1"/>
  <c r="Q908" i="1"/>
  <c r="AO907" i="1"/>
  <c r="AO908" i="1" s="1"/>
  <c r="AN907" i="1"/>
  <c r="AN908" i="1" s="1"/>
  <c r="AM907" i="1"/>
  <c r="AM908" i="1" s="1"/>
  <c r="AL907" i="1"/>
  <c r="AL908" i="1" s="1"/>
  <c r="AK907" i="1"/>
  <c r="AK908" i="1" s="1"/>
  <c r="AJ907" i="1"/>
  <c r="AJ908" i="1" s="1"/>
  <c r="AI907" i="1"/>
  <c r="AI908" i="1" s="1"/>
  <c r="AH907" i="1"/>
  <c r="AH908" i="1" s="1"/>
  <c r="AG907" i="1"/>
  <c r="AG908" i="1" s="1"/>
  <c r="AF907" i="1"/>
  <c r="AF908" i="1" s="1"/>
  <c r="AE907" i="1"/>
  <c r="AE908" i="1" s="1"/>
  <c r="AD907" i="1"/>
  <c r="AD908" i="1" s="1"/>
  <c r="AC907" i="1"/>
  <c r="AP906" i="1"/>
  <c r="AC906" i="1"/>
  <c r="AP905" i="1"/>
  <c r="AC905" i="1"/>
  <c r="AO902" i="1"/>
  <c r="AN902" i="1"/>
  <c r="AM902" i="1"/>
  <c r="AL902" i="1"/>
  <c r="AK902" i="1"/>
  <c r="AJ902" i="1"/>
  <c r="AI902" i="1"/>
  <c r="AH902" i="1"/>
  <c r="AG902" i="1"/>
  <c r="AF902" i="1"/>
  <c r="AE902" i="1"/>
  <c r="AD902" i="1"/>
  <c r="AB902" i="1"/>
  <c r="AA902" i="1"/>
  <c r="Z902" i="1"/>
  <c r="Y902" i="1"/>
  <c r="X902" i="1"/>
  <c r="W902" i="1"/>
  <c r="V902" i="1"/>
  <c r="U902" i="1"/>
  <c r="T902" i="1"/>
  <c r="S902" i="1"/>
  <c r="R902" i="1"/>
  <c r="Q902" i="1"/>
  <c r="AP901" i="1"/>
  <c r="AC901" i="1"/>
  <c r="AP900" i="1"/>
  <c r="AC900" i="1"/>
  <c r="AP899" i="1"/>
  <c r="AC899" i="1"/>
  <c r="AO896" i="1"/>
  <c r="AN896" i="1"/>
  <c r="AM896" i="1"/>
  <c r="AL896" i="1"/>
  <c r="AK896" i="1"/>
  <c r="AJ896" i="1"/>
  <c r="AI896" i="1"/>
  <c r="AH896" i="1"/>
  <c r="AG896" i="1"/>
  <c r="AF896" i="1"/>
  <c r="AE896" i="1"/>
  <c r="AD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AP895" i="1"/>
  <c r="AC895" i="1"/>
  <c r="AP894" i="1"/>
  <c r="AC894" i="1"/>
  <c r="AP893" i="1"/>
  <c r="AC893" i="1"/>
  <c r="AO890" i="1"/>
  <c r="AN890" i="1"/>
  <c r="AM890" i="1"/>
  <c r="AL890" i="1"/>
  <c r="AK890" i="1"/>
  <c r="AJ890" i="1"/>
  <c r="AI890" i="1"/>
  <c r="AH890" i="1"/>
  <c r="AG890" i="1"/>
  <c r="AF890" i="1"/>
  <c r="AE890" i="1"/>
  <c r="AD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AP889" i="1"/>
  <c r="AC889" i="1"/>
  <c r="AP888" i="1"/>
  <c r="AC888" i="1"/>
  <c r="AP887" i="1"/>
  <c r="AC887" i="1"/>
  <c r="AO884" i="1"/>
  <c r="AN884" i="1"/>
  <c r="AM884" i="1"/>
  <c r="AL884" i="1"/>
  <c r="AK884" i="1"/>
  <c r="AJ884" i="1"/>
  <c r="AI884" i="1"/>
  <c r="AH884" i="1"/>
  <c r="AG884" i="1"/>
  <c r="AF884" i="1"/>
  <c r="AE884" i="1"/>
  <c r="AD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AP883" i="1"/>
  <c r="AC883" i="1"/>
  <c r="AP882" i="1"/>
  <c r="AC882" i="1"/>
  <c r="AP881" i="1"/>
  <c r="AC881" i="1"/>
  <c r="AO878" i="1"/>
  <c r="AN878" i="1"/>
  <c r="AM878" i="1"/>
  <c r="AL878" i="1"/>
  <c r="AK878" i="1"/>
  <c r="AJ878" i="1"/>
  <c r="AI878" i="1"/>
  <c r="AH878" i="1"/>
  <c r="AG878" i="1"/>
  <c r="AF878" i="1"/>
  <c r="AE878" i="1"/>
  <c r="AD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AP877" i="1"/>
  <c r="AC877" i="1"/>
  <c r="AP876" i="1"/>
  <c r="AC876" i="1"/>
  <c r="AP875" i="1"/>
  <c r="AC875" i="1"/>
  <c r="Z872" i="1"/>
  <c r="T872" i="1"/>
  <c r="S872" i="1"/>
  <c r="R872" i="1"/>
  <c r="Q872" i="1"/>
  <c r="AO871" i="1"/>
  <c r="AO872" i="1" s="1"/>
  <c r="AN871" i="1"/>
  <c r="AN872" i="1" s="1"/>
  <c r="AM871" i="1"/>
  <c r="AM872" i="1" s="1"/>
  <c r="AL871" i="1"/>
  <c r="AL872" i="1" s="1"/>
  <c r="AK871" i="1"/>
  <c r="AK872" i="1" s="1"/>
  <c r="AJ871" i="1"/>
  <c r="AJ872" i="1" s="1"/>
  <c r="AI871" i="1"/>
  <c r="AI872" i="1" s="1"/>
  <c r="AH871" i="1"/>
  <c r="AH872" i="1" s="1"/>
  <c r="AG871" i="1"/>
  <c r="AG872" i="1" s="1"/>
  <c r="AF871" i="1"/>
  <c r="AF872" i="1" s="1"/>
  <c r="AE871" i="1"/>
  <c r="AE872" i="1" s="1"/>
  <c r="AD871" i="1"/>
  <c r="AB871" i="1"/>
  <c r="AB872" i="1" s="1"/>
  <c r="AA871" i="1"/>
  <c r="AA872" i="1" s="1"/>
  <c r="Z871" i="1"/>
  <c r="Y871" i="1"/>
  <c r="Y872" i="1" s="1"/>
  <c r="X871" i="1"/>
  <c r="X872" i="1" s="1"/>
  <c r="W871" i="1"/>
  <c r="W872" i="1" s="1"/>
  <c r="V871" i="1"/>
  <c r="V872" i="1" s="1"/>
  <c r="U871" i="1"/>
  <c r="U872" i="1" s="1"/>
  <c r="AP870" i="1"/>
  <c r="AC870" i="1"/>
  <c r="AP869" i="1"/>
  <c r="AC869" i="1"/>
  <c r="AM866" i="1"/>
  <c r="AA866" i="1"/>
  <c r="Z866" i="1"/>
  <c r="Y866" i="1"/>
  <c r="X866" i="1"/>
  <c r="W866" i="1"/>
  <c r="V866" i="1"/>
  <c r="U866" i="1"/>
  <c r="T866" i="1"/>
  <c r="S866" i="1"/>
  <c r="R866" i="1"/>
  <c r="Q866" i="1"/>
  <c r="AO865" i="1"/>
  <c r="AO866" i="1" s="1"/>
  <c r="AN865" i="1"/>
  <c r="AN866" i="1" s="1"/>
  <c r="AM865" i="1"/>
  <c r="AL865" i="1"/>
  <c r="AL866" i="1" s="1"/>
  <c r="AK865" i="1"/>
  <c r="AK866" i="1" s="1"/>
  <c r="AJ865" i="1"/>
  <c r="AJ866" i="1" s="1"/>
  <c r="AI865" i="1"/>
  <c r="AI866" i="1" s="1"/>
  <c r="AH865" i="1"/>
  <c r="AH866" i="1" s="1"/>
  <c r="AG865" i="1"/>
  <c r="AG866" i="1" s="1"/>
  <c r="AF865" i="1"/>
  <c r="AE865" i="1"/>
  <c r="AE866" i="1" s="1"/>
  <c r="AD865" i="1"/>
  <c r="AD866" i="1" s="1"/>
  <c r="AB865" i="1"/>
  <c r="AC865" i="1" s="1"/>
  <c r="AP864" i="1"/>
  <c r="AC864" i="1"/>
  <c r="AP863" i="1"/>
  <c r="AC863" i="1"/>
  <c r="N860" i="1"/>
  <c r="M860" i="1"/>
  <c r="L860" i="1"/>
  <c r="K860" i="1"/>
  <c r="J860" i="1"/>
  <c r="I860" i="1"/>
  <c r="H860" i="1"/>
  <c r="G860" i="1"/>
  <c r="F860" i="1"/>
  <c r="E860" i="1"/>
  <c r="D860" i="1"/>
  <c r="AO859" i="1"/>
  <c r="AO860" i="1" s="1"/>
  <c r="AN859" i="1"/>
  <c r="AN860" i="1" s="1"/>
  <c r="AM859" i="1"/>
  <c r="AM860" i="1" s="1"/>
  <c r="AL859" i="1"/>
  <c r="AL860" i="1" s="1"/>
  <c r="AK859" i="1"/>
  <c r="AK860" i="1" s="1"/>
  <c r="AJ859" i="1"/>
  <c r="AJ860" i="1" s="1"/>
  <c r="AI859" i="1"/>
  <c r="AI860" i="1" s="1"/>
  <c r="AH859" i="1"/>
  <c r="AH860" i="1" s="1"/>
  <c r="AG859" i="1"/>
  <c r="AG860" i="1" s="1"/>
  <c r="AF859" i="1"/>
  <c r="AF860" i="1" s="1"/>
  <c r="AE859" i="1"/>
  <c r="AE860" i="1" s="1"/>
  <c r="AD859" i="1"/>
  <c r="AD860" i="1" s="1"/>
  <c r="AB859" i="1"/>
  <c r="AB860" i="1" s="1"/>
  <c r="AA859" i="1"/>
  <c r="AA860" i="1" s="1"/>
  <c r="Z859" i="1"/>
  <c r="Z860" i="1" s="1"/>
  <c r="Y859" i="1"/>
  <c r="Y860" i="1" s="1"/>
  <c r="X859" i="1"/>
  <c r="X860" i="1" s="1"/>
  <c r="W859" i="1"/>
  <c r="W860" i="1" s="1"/>
  <c r="V859" i="1"/>
  <c r="V860" i="1" s="1"/>
  <c r="U859" i="1"/>
  <c r="U860" i="1" s="1"/>
  <c r="T859" i="1"/>
  <c r="T860" i="1" s="1"/>
  <c r="S859" i="1"/>
  <c r="R859" i="1"/>
  <c r="R860" i="1" s="1"/>
  <c r="Q859" i="1"/>
  <c r="O859" i="1"/>
  <c r="P859" i="1" s="1"/>
  <c r="AP858" i="1"/>
  <c r="AD858" i="1"/>
  <c r="Q858" i="1"/>
  <c r="O858" i="1"/>
  <c r="AP857" i="1"/>
  <c r="AC857" i="1"/>
  <c r="P857" i="1"/>
  <c r="AO854" i="1"/>
  <c r="N854" i="1"/>
  <c r="M854" i="1"/>
  <c r="L854" i="1"/>
  <c r="K854" i="1"/>
  <c r="J854" i="1"/>
  <c r="I854" i="1"/>
  <c r="H854" i="1"/>
  <c r="G854" i="1"/>
  <c r="F854" i="1"/>
  <c r="E854" i="1"/>
  <c r="D854" i="1"/>
  <c r="AO853" i="1"/>
  <c r="AN853" i="1"/>
  <c r="AN854" i="1" s="1"/>
  <c r="AM853" i="1"/>
  <c r="AM854" i="1" s="1"/>
  <c r="AL853" i="1"/>
  <c r="AL854" i="1" s="1"/>
  <c r="AK853" i="1"/>
  <c r="AK854" i="1" s="1"/>
  <c r="AJ853" i="1"/>
  <c r="AJ854" i="1" s="1"/>
  <c r="AI853" i="1"/>
  <c r="AI854" i="1" s="1"/>
  <c r="AH853" i="1"/>
  <c r="AH854" i="1" s="1"/>
  <c r="AG853" i="1"/>
  <c r="AF853" i="1"/>
  <c r="AF854" i="1" s="1"/>
  <c r="AE853" i="1"/>
  <c r="AE854" i="1" s="1"/>
  <c r="AD853" i="1"/>
  <c r="AB853" i="1"/>
  <c r="AB854" i="1" s="1"/>
  <c r="AA853" i="1"/>
  <c r="AA854" i="1" s="1"/>
  <c r="Z853" i="1"/>
  <c r="Z854" i="1" s="1"/>
  <c r="Y853" i="1"/>
  <c r="Y854" i="1" s="1"/>
  <c r="X853" i="1"/>
  <c r="X854" i="1" s="1"/>
  <c r="W853" i="1"/>
  <c r="W854" i="1" s="1"/>
  <c r="V853" i="1"/>
  <c r="V854" i="1" s="1"/>
  <c r="U853" i="1"/>
  <c r="U854" i="1" s="1"/>
  <c r="T853" i="1"/>
  <c r="T854" i="1" s="1"/>
  <c r="S853" i="1"/>
  <c r="S854" i="1" s="1"/>
  <c r="R853" i="1"/>
  <c r="R854" i="1" s="1"/>
  <c r="Q853" i="1"/>
  <c r="O853" i="1"/>
  <c r="P853" i="1" s="1"/>
  <c r="AD852" i="1"/>
  <c r="Q852" i="1"/>
  <c r="AC852" i="1" s="1"/>
  <c r="O852" i="1"/>
  <c r="AP851" i="1"/>
  <c r="AC851" i="1"/>
  <c r="P851" i="1"/>
  <c r="Z848" i="1"/>
  <c r="N848" i="1"/>
  <c r="M848" i="1"/>
  <c r="L848" i="1"/>
  <c r="K848" i="1"/>
  <c r="J848" i="1"/>
  <c r="I848" i="1"/>
  <c r="H848" i="1"/>
  <c r="G848" i="1"/>
  <c r="F848" i="1"/>
  <c r="E848" i="1"/>
  <c r="D848" i="1"/>
  <c r="AO847" i="1"/>
  <c r="AO848" i="1" s="1"/>
  <c r="AN847" i="1"/>
  <c r="AN848" i="1" s="1"/>
  <c r="AM847" i="1"/>
  <c r="AM848" i="1" s="1"/>
  <c r="AL847" i="1"/>
  <c r="AL848" i="1" s="1"/>
  <c r="AK847" i="1"/>
  <c r="AK848" i="1" s="1"/>
  <c r="AJ847" i="1"/>
  <c r="AJ848" i="1" s="1"/>
  <c r="AI847" i="1"/>
  <c r="AI848" i="1" s="1"/>
  <c r="AH847" i="1"/>
  <c r="AH848" i="1" s="1"/>
  <c r="AG847" i="1"/>
  <c r="AG848" i="1" s="1"/>
  <c r="AF847" i="1"/>
  <c r="AF848" i="1" s="1"/>
  <c r="AE847" i="1"/>
  <c r="AE848" i="1" s="1"/>
  <c r="AD847" i="1"/>
  <c r="AB847" i="1"/>
  <c r="AB848" i="1" s="1"/>
  <c r="AA847" i="1"/>
  <c r="AA848" i="1" s="1"/>
  <c r="Z847" i="1"/>
  <c r="Y847" i="1"/>
  <c r="Y848" i="1" s="1"/>
  <c r="X847" i="1"/>
  <c r="X848" i="1" s="1"/>
  <c r="W847" i="1"/>
  <c r="W848" i="1" s="1"/>
  <c r="V847" i="1"/>
  <c r="V848" i="1" s="1"/>
  <c r="U847" i="1"/>
  <c r="U848" i="1" s="1"/>
  <c r="T847" i="1"/>
  <c r="T848" i="1" s="1"/>
  <c r="S847" i="1"/>
  <c r="S848" i="1" s="1"/>
  <c r="R847" i="1"/>
  <c r="R848" i="1" s="1"/>
  <c r="Q847" i="1"/>
  <c r="O847" i="1"/>
  <c r="O848" i="1" s="1"/>
  <c r="AD846" i="1"/>
  <c r="Q846" i="1"/>
  <c r="AC846" i="1" s="1"/>
  <c r="O846" i="1"/>
  <c r="P846" i="1" s="1"/>
  <c r="AP845" i="1"/>
  <c r="AC845" i="1"/>
  <c r="P845" i="1"/>
  <c r="U842" i="1"/>
  <c r="N842" i="1"/>
  <c r="M842" i="1"/>
  <c r="L842" i="1"/>
  <c r="K842" i="1"/>
  <c r="J842" i="1"/>
  <c r="I842" i="1"/>
  <c r="H842" i="1"/>
  <c r="G842" i="1"/>
  <c r="F842" i="1"/>
  <c r="E842" i="1"/>
  <c r="D842" i="1"/>
  <c r="AO841" i="1"/>
  <c r="AO842" i="1" s="1"/>
  <c r="AN841" i="1"/>
  <c r="AN842" i="1" s="1"/>
  <c r="AM841" i="1"/>
  <c r="AM842" i="1" s="1"/>
  <c r="AL841" i="1"/>
  <c r="AL842" i="1" s="1"/>
  <c r="AK841" i="1"/>
  <c r="AK842" i="1" s="1"/>
  <c r="AJ841" i="1"/>
  <c r="AJ842" i="1" s="1"/>
  <c r="AI841" i="1"/>
  <c r="AI842" i="1" s="1"/>
  <c r="AH841" i="1"/>
  <c r="AH842" i="1" s="1"/>
  <c r="AG841" i="1"/>
  <c r="AG842" i="1" s="1"/>
  <c r="AF841" i="1"/>
  <c r="AF842" i="1" s="1"/>
  <c r="AE841" i="1"/>
  <c r="AE842" i="1" s="1"/>
  <c r="AD841" i="1"/>
  <c r="AB841" i="1"/>
  <c r="AB842" i="1" s="1"/>
  <c r="AA841" i="1"/>
  <c r="AA842" i="1" s="1"/>
  <c r="Z841" i="1"/>
  <c r="Z842" i="1" s="1"/>
  <c r="Y841" i="1"/>
  <c r="Y842" i="1" s="1"/>
  <c r="X841" i="1"/>
  <c r="X842" i="1" s="1"/>
  <c r="W841" i="1"/>
  <c r="W842" i="1" s="1"/>
  <c r="V841" i="1"/>
  <c r="V842" i="1" s="1"/>
  <c r="U841" i="1"/>
  <c r="T841" i="1"/>
  <c r="T842" i="1" s="1"/>
  <c r="S841" i="1"/>
  <c r="S842" i="1" s="1"/>
  <c r="R841" i="1"/>
  <c r="R842" i="1" s="1"/>
  <c r="Q841" i="1"/>
  <c r="O841" i="1"/>
  <c r="P841" i="1" s="1"/>
  <c r="AD840" i="1"/>
  <c r="AC840" i="1"/>
  <c r="Q840" i="1"/>
  <c r="O840" i="1"/>
  <c r="P840" i="1" s="1"/>
  <c r="AP839" i="1"/>
  <c r="AC839" i="1"/>
  <c r="P839" i="1"/>
  <c r="AN836" i="1"/>
  <c r="R836" i="1"/>
  <c r="N836" i="1"/>
  <c r="M836" i="1"/>
  <c r="L836" i="1"/>
  <c r="K836" i="1"/>
  <c r="J836" i="1"/>
  <c r="I836" i="1"/>
  <c r="H836" i="1"/>
  <c r="G836" i="1"/>
  <c r="F836" i="1"/>
  <c r="E836" i="1"/>
  <c r="D836" i="1"/>
  <c r="AO835" i="1"/>
  <c r="AO836" i="1" s="1"/>
  <c r="AN835" i="1"/>
  <c r="AM835" i="1"/>
  <c r="AM836" i="1" s="1"/>
  <c r="AL835" i="1"/>
  <c r="AL836" i="1" s="1"/>
  <c r="AK835" i="1"/>
  <c r="AK836" i="1" s="1"/>
  <c r="AJ835" i="1"/>
  <c r="AJ836" i="1" s="1"/>
  <c r="AI835" i="1"/>
  <c r="AI836" i="1" s="1"/>
  <c r="AH835" i="1"/>
  <c r="AH836" i="1" s="1"/>
  <c r="AG835" i="1"/>
  <c r="AG836" i="1" s="1"/>
  <c r="AF835" i="1"/>
  <c r="AF836" i="1" s="1"/>
  <c r="AE835" i="1"/>
  <c r="AD835" i="1"/>
  <c r="AB835" i="1"/>
  <c r="AB836" i="1" s="1"/>
  <c r="AA835" i="1"/>
  <c r="AA836" i="1" s="1"/>
  <c r="Z835" i="1"/>
  <c r="Z836" i="1" s="1"/>
  <c r="Y835" i="1"/>
  <c r="Y836" i="1" s="1"/>
  <c r="X835" i="1"/>
  <c r="X836" i="1" s="1"/>
  <c r="W835" i="1"/>
  <c r="W836" i="1" s="1"/>
  <c r="V835" i="1"/>
  <c r="V836" i="1" s="1"/>
  <c r="U835" i="1"/>
  <c r="U836" i="1" s="1"/>
  <c r="T835" i="1"/>
  <c r="T836" i="1" s="1"/>
  <c r="S835" i="1"/>
  <c r="S836" i="1" s="1"/>
  <c r="R835" i="1"/>
  <c r="Q835" i="1"/>
  <c r="O835" i="1"/>
  <c r="P835" i="1" s="1"/>
  <c r="AD834" i="1"/>
  <c r="Q834" i="1"/>
  <c r="AC834" i="1" s="1"/>
  <c r="P834" i="1"/>
  <c r="P836" i="1" s="1"/>
  <c r="O834" i="1"/>
  <c r="AP833" i="1"/>
  <c r="AC833" i="1"/>
  <c r="P833" i="1"/>
  <c r="AM830" i="1"/>
  <c r="Y830" i="1"/>
  <c r="X830" i="1"/>
  <c r="N830" i="1"/>
  <c r="M830" i="1"/>
  <c r="L830" i="1"/>
  <c r="K830" i="1"/>
  <c r="J830" i="1"/>
  <c r="I830" i="1"/>
  <c r="H830" i="1"/>
  <c r="G830" i="1"/>
  <c r="F830" i="1"/>
  <c r="E830" i="1"/>
  <c r="D830" i="1"/>
  <c r="AO829" i="1"/>
  <c r="AO830" i="1" s="1"/>
  <c r="AN829" i="1"/>
  <c r="AN830" i="1" s="1"/>
  <c r="AM829" i="1"/>
  <c r="AL829" i="1"/>
  <c r="AL830" i="1" s="1"/>
  <c r="AK829" i="1"/>
  <c r="AK830" i="1" s="1"/>
  <c r="AJ829" i="1"/>
  <c r="AJ830" i="1" s="1"/>
  <c r="AI829" i="1"/>
  <c r="AI830" i="1" s="1"/>
  <c r="AH829" i="1"/>
  <c r="AH830" i="1" s="1"/>
  <c r="AG829" i="1"/>
  <c r="AG830" i="1" s="1"/>
  <c r="AF829" i="1"/>
  <c r="AF830" i="1" s="1"/>
  <c r="AE829" i="1"/>
  <c r="AE830" i="1" s="1"/>
  <c r="AD829" i="1"/>
  <c r="AD830" i="1" s="1"/>
  <c r="AB829" i="1"/>
  <c r="AB830" i="1" s="1"/>
  <c r="AA829" i="1"/>
  <c r="AA830" i="1" s="1"/>
  <c r="Z829" i="1"/>
  <c r="Z830" i="1" s="1"/>
  <c r="Y829" i="1"/>
  <c r="X829" i="1"/>
  <c r="W829" i="1"/>
  <c r="W830" i="1" s="1"/>
  <c r="V829" i="1"/>
  <c r="V830" i="1" s="1"/>
  <c r="U829" i="1"/>
  <c r="U830" i="1" s="1"/>
  <c r="T829" i="1"/>
  <c r="S829" i="1"/>
  <c r="S830" i="1" s="1"/>
  <c r="R829" i="1"/>
  <c r="R830" i="1" s="1"/>
  <c r="Q829" i="1"/>
  <c r="Q830" i="1" s="1"/>
  <c r="O829" i="1"/>
  <c r="AP828" i="1"/>
  <c r="AC828" i="1"/>
  <c r="P828" i="1"/>
  <c r="AP827" i="1"/>
  <c r="AC827" i="1"/>
  <c r="P827" i="1"/>
  <c r="AO824" i="1"/>
  <c r="AI824" i="1"/>
  <c r="AB824" i="1"/>
  <c r="AA824" i="1"/>
  <c r="Z824" i="1"/>
  <c r="Y824" i="1"/>
  <c r="X824" i="1"/>
  <c r="W824" i="1"/>
  <c r="V824" i="1"/>
  <c r="U824" i="1"/>
  <c r="T824" i="1"/>
  <c r="S824" i="1"/>
  <c r="R824" i="1"/>
  <c r="Q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AO823" i="1"/>
  <c r="AN823" i="1"/>
  <c r="AN824" i="1" s="1"/>
  <c r="AM823" i="1"/>
  <c r="AM824" i="1" s="1"/>
  <c r="AL823" i="1"/>
  <c r="AL824" i="1" s="1"/>
  <c r="AK823" i="1"/>
  <c r="AK824" i="1" s="1"/>
  <c r="AJ823" i="1"/>
  <c r="AJ824" i="1" s="1"/>
  <c r="AI823" i="1"/>
  <c r="AH823" i="1"/>
  <c r="AH824" i="1" s="1"/>
  <c r="AG823" i="1"/>
  <c r="AG824" i="1" s="1"/>
  <c r="AF823" i="1"/>
  <c r="AF824" i="1" s="1"/>
  <c r="AE823" i="1"/>
  <c r="AE824" i="1" s="1"/>
  <c r="AD823" i="1"/>
  <c r="AC823" i="1"/>
  <c r="P823" i="1"/>
  <c r="AP822" i="1"/>
  <c r="AC822" i="1"/>
  <c r="P822" i="1"/>
  <c r="AP821" i="1"/>
  <c r="AC821" i="1"/>
  <c r="P821" i="1"/>
  <c r="AO818" i="1"/>
  <c r="AN818" i="1"/>
  <c r="AM818" i="1"/>
  <c r="AL818" i="1"/>
  <c r="AK818" i="1"/>
  <c r="AJ818" i="1"/>
  <c r="AI818" i="1"/>
  <c r="AH818" i="1"/>
  <c r="AG818" i="1"/>
  <c r="AF818" i="1"/>
  <c r="AE818" i="1"/>
  <c r="AD818" i="1"/>
  <c r="AB818" i="1"/>
  <c r="AA818" i="1"/>
  <c r="Z818" i="1"/>
  <c r="Y818" i="1"/>
  <c r="X818" i="1"/>
  <c r="W818" i="1"/>
  <c r="V818" i="1"/>
  <c r="U818" i="1"/>
  <c r="T818" i="1"/>
  <c r="S818" i="1"/>
  <c r="R818" i="1"/>
  <c r="Q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AP817" i="1"/>
  <c r="AC817" i="1"/>
  <c r="P817" i="1"/>
  <c r="AP816" i="1"/>
  <c r="AC816" i="1"/>
  <c r="P816" i="1"/>
  <c r="AP815" i="1"/>
  <c r="AC815" i="1"/>
  <c r="P815" i="1"/>
  <c r="AO812" i="1"/>
  <c r="AN812" i="1"/>
  <c r="AM812" i="1"/>
  <c r="AL812" i="1"/>
  <c r="AK812" i="1"/>
  <c r="AJ812" i="1"/>
  <c r="AI812" i="1"/>
  <c r="AH812" i="1"/>
  <c r="AG812" i="1"/>
  <c r="AF812" i="1"/>
  <c r="AE812" i="1"/>
  <c r="AD812" i="1"/>
  <c r="AB812" i="1"/>
  <c r="AA812" i="1"/>
  <c r="Z812" i="1"/>
  <c r="Y812" i="1"/>
  <c r="X812" i="1"/>
  <c r="W812" i="1"/>
  <c r="V812" i="1"/>
  <c r="U812" i="1"/>
  <c r="T812" i="1"/>
  <c r="S812" i="1"/>
  <c r="R812" i="1"/>
  <c r="Q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AP811" i="1"/>
  <c r="AC811" i="1"/>
  <c r="P811" i="1"/>
  <c r="AP810" i="1"/>
  <c r="AC810" i="1"/>
  <c r="P810" i="1"/>
  <c r="P812" i="1" s="1"/>
  <c r="AP809" i="1"/>
  <c r="AC809" i="1"/>
  <c r="P809" i="1"/>
  <c r="AO806" i="1"/>
  <c r="AN806" i="1"/>
  <c r="AM806" i="1"/>
  <c r="AL806" i="1"/>
  <c r="AK806" i="1"/>
  <c r="AJ806" i="1"/>
  <c r="AI806" i="1"/>
  <c r="AH806" i="1"/>
  <c r="AG806" i="1"/>
  <c r="AF806" i="1"/>
  <c r="AE806" i="1"/>
  <c r="AD806" i="1"/>
  <c r="AB806" i="1"/>
  <c r="AA806" i="1"/>
  <c r="Z806" i="1"/>
  <c r="Y806" i="1"/>
  <c r="X806" i="1"/>
  <c r="W806" i="1"/>
  <c r="V806" i="1"/>
  <c r="U806" i="1"/>
  <c r="T806" i="1"/>
  <c r="S806" i="1"/>
  <c r="R806" i="1"/>
  <c r="Q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AP805" i="1"/>
  <c r="AC805" i="1"/>
  <c r="P805" i="1"/>
  <c r="AP804" i="1"/>
  <c r="AC804" i="1"/>
  <c r="P804" i="1"/>
  <c r="AP803" i="1"/>
  <c r="AC803" i="1"/>
  <c r="P803" i="1"/>
  <c r="AO800" i="1"/>
  <c r="AN800" i="1"/>
  <c r="AM800" i="1"/>
  <c r="AL800" i="1"/>
  <c r="AK800" i="1"/>
  <c r="AJ800" i="1"/>
  <c r="AI800" i="1"/>
  <c r="AH800" i="1"/>
  <c r="AG800" i="1"/>
  <c r="AF800" i="1"/>
  <c r="AE800" i="1"/>
  <c r="AD800" i="1"/>
  <c r="AB800" i="1"/>
  <c r="AA800" i="1"/>
  <c r="Z800" i="1"/>
  <c r="Y800" i="1"/>
  <c r="X800" i="1"/>
  <c r="W800" i="1"/>
  <c r="V800" i="1"/>
  <c r="U800" i="1"/>
  <c r="T800" i="1"/>
  <c r="S800" i="1"/>
  <c r="R800" i="1"/>
  <c r="Q800" i="1"/>
  <c r="M800" i="1"/>
  <c r="L800" i="1"/>
  <c r="K800" i="1"/>
  <c r="J800" i="1"/>
  <c r="I800" i="1"/>
  <c r="H800" i="1"/>
  <c r="G800" i="1"/>
  <c r="F800" i="1"/>
  <c r="E800" i="1"/>
  <c r="D800" i="1"/>
  <c r="AP799" i="1"/>
  <c r="AC799" i="1"/>
  <c r="O799" i="1"/>
  <c r="O800" i="1" s="1"/>
  <c r="N799" i="1"/>
  <c r="N800" i="1" s="1"/>
  <c r="AP798" i="1"/>
  <c r="AP800" i="1" s="1"/>
  <c r="AC798" i="1"/>
  <c r="P798" i="1"/>
  <c r="AP797" i="1"/>
  <c r="AC797" i="1"/>
  <c r="P797" i="1"/>
  <c r="AO794" i="1"/>
  <c r="AN794" i="1"/>
  <c r="AM794" i="1"/>
  <c r="AL794" i="1"/>
  <c r="AK794" i="1"/>
  <c r="AJ794" i="1"/>
  <c r="AI794" i="1"/>
  <c r="AH794" i="1"/>
  <c r="AG794" i="1"/>
  <c r="AF794" i="1"/>
  <c r="AE794" i="1"/>
  <c r="AD794" i="1"/>
  <c r="AB794" i="1"/>
  <c r="AA794" i="1"/>
  <c r="Z794" i="1"/>
  <c r="Y794" i="1"/>
  <c r="X794" i="1"/>
  <c r="W794" i="1"/>
  <c r="V794" i="1"/>
  <c r="U794" i="1"/>
  <c r="T794" i="1"/>
  <c r="S794" i="1"/>
  <c r="R794" i="1"/>
  <c r="Q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AP793" i="1"/>
  <c r="AC793" i="1"/>
  <c r="P793" i="1"/>
  <c r="AP792" i="1"/>
  <c r="AP794" i="1" s="1"/>
  <c r="AC792" i="1"/>
  <c r="P792" i="1"/>
  <c r="AP791" i="1"/>
  <c r="AC791" i="1"/>
  <c r="P791" i="1"/>
  <c r="AF788" i="1"/>
  <c r="AD788" i="1"/>
  <c r="AA788" i="1"/>
  <c r="Z788" i="1"/>
  <c r="Y788" i="1"/>
  <c r="X788" i="1"/>
  <c r="W788" i="1"/>
  <c r="V788" i="1"/>
  <c r="U788" i="1"/>
  <c r="T788" i="1"/>
  <c r="S788" i="1"/>
  <c r="R788" i="1"/>
  <c r="Q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AO787" i="1"/>
  <c r="AO788" i="1" s="1"/>
  <c r="AN787" i="1"/>
  <c r="AN788" i="1" s="1"/>
  <c r="AM787" i="1"/>
  <c r="AM788" i="1" s="1"/>
  <c r="AL787" i="1"/>
  <c r="AL788" i="1" s="1"/>
  <c r="AK787" i="1"/>
  <c r="AK788" i="1" s="1"/>
  <c r="AJ787" i="1"/>
  <c r="AJ788" i="1" s="1"/>
  <c r="AI787" i="1"/>
  <c r="AI788" i="1" s="1"/>
  <c r="AH787" i="1"/>
  <c r="AH788" i="1" s="1"/>
  <c r="AG787" i="1"/>
  <c r="AG788" i="1" s="1"/>
  <c r="AF787" i="1"/>
  <c r="AE787" i="1"/>
  <c r="AE788" i="1" s="1"/>
  <c r="AD787" i="1"/>
  <c r="AC787" i="1"/>
  <c r="AC788" i="1" s="1"/>
  <c r="AB787" i="1"/>
  <c r="AB788" i="1" s="1"/>
  <c r="P787" i="1"/>
  <c r="AP786" i="1"/>
  <c r="AC786" i="1"/>
  <c r="P786" i="1"/>
  <c r="AP785" i="1"/>
  <c r="AC785" i="1"/>
  <c r="P785" i="1"/>
  <c r="P788" i="1" s="1"/>
  <c r="O782" i="1"/>
  <c r="N782" i="1"/>
  <c r="M782" i="1"/>
  <c r="L782" i="1"/>
  <c r="K782" i="1"/>
  <c r="J782" i="1"/>
  <c r="I782" i="1"/>
  <c r="H782" i="1"/>
  <c r="G782" i="1"/>
  <c r="F782" i="1"/>
  <c r="E782" i="1"/>
  <c r="D782" i="1"/>
  <c r="AO781" i="1"/>
  <c r="AO782" i="1" s="1"/>
  <c r="AN781" i="1"/>
  <c r="AN782" i="1" s="1"/>
  <c r="AM781" i="1"/>
  <c r="AM782" i="1" s="1"/>
  <c r="AL781" i="1"/>
  <c r="AL782" i="1" s="1"/>
  <c r="AK781" i="1"/>
  <c r="AK782" i="1" s="1"/>
  <c r="AJ781" i="1"/>
  <c r="AJ782" i="1" s="1"/>
  <c r="AI781" i="1"/>
  <c r="AI782" i="1" s="1"/>
  <c r="AH781" i="1"/>
  <c r="AH782" i="1" s="1"/>
  <c r="AG781" i="1"/>
  <c r="AG782" i="1" s="1"/>
  <c r="AF781" i="1"/>
  <c r="AF782" i="1" s="1"/>
  <c r="AE781" i="1"/>
  <c r="AE782" i="1" s="1"/>
  <c r="AD781" i="1"/>
  <c r="AD782" i="1" s="1"/>
  <c r="AB781" i="1"/>
  <c r="AB782" i="1" s="1"/>
  <c r="AA781" i="1"/>
  <c r="AA782" i="1" s="1"/>
  <c r="Z781" i="1"/>
  <c r="Z782" i="1" s="1"/>
  <c r="Y781" i="1"/>
  <c r="Y782" i="1" s="1"/>
  <c r="X781" i="1"/>
  <c r="X782" i="1" s="1"/>
  <c r="W781" i="1"/>
  <c r="W782" i="1" s="1"/>
  <c r="V781" i="1"/>
  <c r="V782" i="1" s="1"/>
  <c r="U781" i="1"/>
  <c r="U782" i="1" s="1"/>
  <c r="T781" i="1"/>
  <c r="T782" i="1" s="1"/>
  <c r="S781" i="1"/>
  <c r="S782" i="1" s="1"/>
  <c r="R781" i="1"/>
  <c r="R782" i="1" s="1"/>
  <c r="Q781" i="1"/>
  <c r="P781" i="1"/>
  <c r="AP780" i="1"/>
  <c r="AC780" i="1"/>
  <c r="P780" i="1"/>
  <c r="AP779" i="1"/>
  <c r="AC779" i="1"/>
  <c r="P779" i="1"/>
  <c r="V776" i="1"/>
  <c r="U776" i="1"/>
  <c r="T776" i="1"/>
  <c r="S776" i="1"/>
  <c r="R776" i="1"/>
  <c r="Q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AO775" i="1"/>
  <c r="AO776" i="1" s="1"/>
  <c r="AN775" i="1"/>
  <c r="AN776" i="1" s="1"/>
  <c r="AM775" i="1"/>
  <c r="AM776" i="1" s="1"/>
  <c r="AL775" i="1"/>
  <c r="AL776" i="1" s="1"/>
  <c r="AK775" i="1"/>
  <c r="AK776" i="1" s="1"/>
  <c r="AJ775" i="1"/>
  <c r="AJ776" i="1" s="1"/>
  <c r="AI775" i="1"/>
  <c r="AI776" i="1" s="1"/>
  <c r="AH775" i="1"/>
  <c r="AH776" i="1" s="1"/>
  <c r="AG775" i="1"/>
  <c r="AG776" i="1" s="1"/>
  <c r="AF775" i="1"/>
  <c r="AF776" i="1" s="1"/>
  <c r="AE775" i="1"/>
  <c r="AE776" i="1" s="1"/>
  <c r="AD775" i="1"/>
  <c r="AD776" i="1" s="1"/>
  <c r="AB775" i="1"/>
  <c r="AB776" i="1" s="1"/>
  <c r="AA775" i="1"/>
  <c r="AA776" i="1" s="1"/>
  <c r="Z775" i="1"/>
  <c r="Z776" i="1" s="1"/>
  <c r="Y775" i="1"/>
  <c r="Y776" i="1" s="1"/>
  <c r="X775" i="1"/>
  <c r="W775" i="1"/>
  <c r="W776" i="1" s="1"/>
  <c r="P775" i="1"/>
  <c r="AP774" i="1"/>
  <c r="AC774" i="1"/>
  <c r="P774" i="1"/>
  <c r="AP773" i="1"/>
  <c r="AC773" i="1"/>
  <c r="P773" i="1"/>
  <c r="P776" i="1" s="1"/>
  <c r="Y770" i="1"/>
  <c r="V770" i="1"/>
  <c r="I770" i="1"/>
  <c r="H770" i="1"/>
  <c r="G770" i="1"/>
  <c r="F770" i="1"/>
  <c r="E770" i="1"/>
  <c r="D770" i="1"/>
  <c r="AO769" i="1"/>
  <c r="AO770" i="1" s="1"/>
  <c r="AN769" i="1"/>
  <c r="AN770" i="1" s="1"/>
  <c r="AM769" i="1"/>
  <c r="AM770" i="1" s="1"/>
  <c r="AL769" i="1"/>
  <c r="AL770" i="1" s="1"/>
  <c r="AK769" i="1"/>
  <c r="AK770" i="1" s="1"/>
  <c r="AJ769" i="1"/>
  <c r="AJ770" i="1" s="1"/>
  <c r="AI769" i="1"/>
  <c r="AI770" i="1" s="1"/>
  <c r="AH769" i="1"/>
  <c r="AH770" i="1" s="1"/>
  <c r="AG769" i="1"/>
  <c r="AG770" i="1" s="1"/>
  <c r="AF769" i="1"/>
  <c r="AF770" i="1" s="1"/>
  <c r="AE769" i="1"/>
  <c r="AE770" i="1" s="1"/>
  <c r="AD769" i="1"/>
  <c r="AB769" i="1"/>
  <c r="AB770" i="1" s="1"/>
  <c r="AA769" i="1"/>
  <c r="AA770" i="1" s="1"/>
  <c r="Z769" i="1"/>
  <c r="Z770" i="1" s="1"/>
  <c r="Y769" i="1"/>
  <c r="X769" i="1"/>
  <c r="X770" i="1" s="1"/>
  <c r="W769" i="1"/>
  <c r="W770" i="1" s="1"/>
  <c r="V769" i="1"/>
  <c r="U769" i="1"/>
  <c r="U770" i="1" s="1"/>
  <c r="T769" i="1"/>
  <c r="T770" i="1" s="1"/>
  <c r="S769" i="1"/>
  <c r="S770" i="1" s="1"/>
  <c r="R769" i="1"/>
  <c r="R770" i="1" s="1"/>
  <c r="Q769" i="1"/>
  <c r="Q770" i="1" s="1"/>
  <c r="O769" i="1"/>
  <c r="O770" i="1" s="1"/>
  <c r="N769" i="1"/>
  <c r="N770" i="1" s="1"/>
  <c r="M769" i="1"/>
  <c r="M770" i="1" s="1"/>
  <c r="L769" i="1"/>
  <c r="L770" i="1" s="1"/>
  <c r="K769" i="1"/>
  <c r="J769" i="1"/>
  <c r="J770" i="1" s="1"/>
  <c r="AP768" i="1"/>
  <c r="AC768" i="1"/>
  <c r="P768" i="1"/>
  <c r="AP767" i="1"/>
  <c r="AC767" i="1"/>
  <c r="P767" i="1"/>
  <c r="AO764" i="1"/>
  <c r="AN764" i="1"/>
  <c r="AM764" i="1"/>
  <c r="AL764" i="1"/>
  <c r="AK764" i="1"/>
  <c r="AJ764" i="1"/>
  <c r="AI764" i="1"/>
  <c r="AH764" i="1"/>
  <c r="AG764" i="1"/>
  <c r="AF764" i="1"/>
  <c r="AE764" i="1"/>
  <c r="AD764" i="1"/>
  <c r="AB764" i="1"/>
  <c r="AA764" i="1"/>
  <c r="Z764" i="1"/>
  <c r="Y764" i="1"/>
  <c r="X764" i="1"/>
  <c r="W764" i="1"/>
  <c r="V764" i="1"/>
  <c r="U764" i="1"/>
  <c r="T764" i="1"/>
  <c r="S764" i="1"/>
  <c r="R764" i="1"/>
  <c r="Q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AP763" i="1"/>
  <c r="AC763" i="1"/>
  <c r="P763" i="1"/>
  <c r="AP762" i="1"/>
  <c r="AC762" i="1"/>
  <c r="P762" i="1"/>
  <c r="AP761" i="1"/>
  <c r="AC761" i="1"/>
  <c r="P761" i="1"/>
  <c r="P764" i="1" s="1"/>
  <c r="AO758" i="1"/>
  <c r="AN758" i="1"/>
  <c r="AM758" i="1"/>
  <c r="AL758" i="1"/>
  <c r="AK758" i="1"/>
  <c r="AJ758" i="1"/>
  <c r="AI758" i="1"/>
  <c r="AH758" i="1"/>
  <c r="AG758" i="1"/>
  <c r="AF758" i="1"/>
  <c r="AE758" i="1"/>
  <c r="AD758" i="1"/>
  <c r="AB758" i="1"/>
  <c r="AA758" i="1"/>
  <c r="Z758" i="1"/>
  <c r="Y758" i="1"/>
  <c r="X758" i="1"/>
  <c r="W758" i="1"/>
  <c r="V758" i="1"/>
  <c r="U758" i="1"/>
  <c r="T758" i="1"/>
  <c r="S758" i="1"/>
  <c r="R758" i="1"/>
  <c r="Q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AP757" i="1"/>
  <c r="AC757" i="1"/>
  <c r="P757" i="1"/>
  <c r="AP756" i="1"/>
  <c r="AC756" i="1"/>
  <c r="P756" i="1"/>
  <c r="AP755" i="1"/>
  <c r="AC755" i="1"/>
  <c r="P755" i="1"/>
  <c r="AO752" i="1"/>
  <c r="AN752" i="1"/>
  <c r="AM752" i="1"/>
  <c r="AL752" i="1"/>
  <c r="AK752" i="1"/>
  <c r="AJ752" i="1"/>
  <c r="AI752" i="1"/>
  <c r="AH752" i="1"/>
  <c r="AG752" i="1"/>
  <c r="AF752" i="1"/>
  <c r="AE752" i="1"/>
  <c r="AD752" i="1"/>
  <c r="AB752" i="1"/>
  <c r="AA752" i="1"/>
  <c r="Z752" i="1"/>
  <c r="Y752" i="1"/>
  <c r="X752" i="1"/>
  <c r="W752" i="1"/>
  <c r="V752" i="1"/>
  <c r="U752" i="1"/>
  <c r="T752" i="1"/>
  <c r="S752" i="1"/>
  <c r="R752" i="1"/>
  <c r="Q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AP751" i="1"/>
  <c r="AC751" i="1"/>
  <c r="P751" i="1"/>
  <c r="AP750" i="1"/>
  <c r="AC750" i="1"/>
  <c r="P750" i="1"/>
  <c r="AP749" i="1"/>
  <c r="AP752" i="1" s="1"/>
  <c r="AC749" i="1"/>
  <c r="P749" i="1"/>
  <c r="AO746" i="1"/>
  <c r="AN746" i="1"/>
  <c r="AM746" i="1"/>
  <c r="AL746" i="1"/>
  <c r="AK746" i="1"/>
  <c r="AJ746" i="1"/>
  <c r="AI746" i="1"/>
  <c r="AH746" i="1"/>
  <c r="AG746" i="1"/>
  <c r="AF746" i="1"/>
  <c r="AE746" i="1"/>
  <c r="AD746" i="1"/>
  <c r="AB746" i="1"/>
  <c r="AA746" i="1"/>
  <c r="Z746" i="1"/>
  <c r="Y746" i="1"/>
  <c r="X746" i="1"/>
  <c r="W746" i="1"/>
  <c r="V746" i="1"/>
  <c r="U746" i="1"/>
  <c r="T746" i="1"/>
  <c r="S746" i="1"/>
  <c r="R746" i="1"/>
  <c r="Q746" i="1"/>
  <c r="O746" i="1"/>
  <c r="K746" i="1"/>
  <c r="I746" i="1"/>
  <c r="H746" i="1"/>
  <c r="G746" i="1"/>
  <c r="F746" i="1"/>
  <c r="E746" i="1"/>
  <c r="D746" i="1"/>
  <c r="AP745" i="1"/>
  <c r="AC745" i="1"/>
  <c r="O745" i="1"/>
  <c r="N745" i="1"/>
  <c r="N746" i="1" s="1"/>
  <c r="M745" i="1"/>
  <c r="M746" i="1" s="1"/>
  <c r="L745" i="1"/>
  <c r="L746" i="1" s="1"/>
  <c r="K745" i="1"/>
  <c r="J745" i="1"/>
  <c r="AP744" i="1"/>
  <c r="AC744" i="1"/>
  <c r="P744" i="1"/>
  <c r="AP743" i="1"/>
  <c r="AC743" i="1"/>
  <c r="P743" i="1"/>
  <c r="AO740" i="1"/>
  <c r="AN740" i="1"/>
  <c r="AM740" i="1"/>
  <c r="AL740" i="1"/>
  <c r="AK740" i="1"/>
  <c r="AJ740" i="1"/>
  <c r="AI740" i="1"/>
  <c r="AH740" i="1"/>
  <c r="AG740" i="1"/>
  <c r="AF740" i="1"/>
  <c r="AE740" i="1"/>
  <c r="AD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AP739" i="1"/>
  <c r="AC739" i="1"/>
  <c r="P739" i="1"/>
  <c r="AP738" i="1"/>
  <c r="AC738" i="1"/>
  <c r="P738" i="1"/>
  <c r="AP737" i="1"/>
  <c r="AP740" i="1" s="1"/>
  <c r="AC737" i="1"/>
  <c r="P737" i="1"/>
  <c r="AK734" i="1"/>
  <c r="U734" i="1"/>
  <c r="S734" i="1"/>
  <c r="R734" i="1"/>
  <c r="Q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AO733" i="1"/>
  <c r="AO734" i="1" s="1"/>
  <c r="AN733" i="1"/>
  <c r="AN734" i="1" s="1"/>
  <c r="AM733" i="1"/>
  <c r="AM734" i="1" s="1"/>
  <c r="AL733" i="1"/>
  <c r="AL734" i="1" s="1"/>
  <c r="AK733" i="1"/>
  <c r="AJ733" i="1"/>
  <c r="AJ734" i="1" s="1"/>
  <c r="AI733" i="1"/>
  <c r="AI734" i="1" s="1"/>
  <c r="AH733" i="1"/>
  <c r="AH734" i="1" s="1"/>
  <c r="AG733" i="1"/>
  <c r="AG734" i="1" s="1"/>
  <c r="AF733" i="1"/>
  <c r="AF734" i="1" s="1"/>
  <c r="AE733" i="1"/>
  <c r="AE734" i="1" s="1"/>
  <c r="AD733" i="1"/>
  <c r="AB733" i="1"/>
  <c r="AB734" i="1" s="1"/>
  <c r="AA733" i="1"/>
  <c r="AA734" i="1" s="1"/>
  <c r="Z733" i="1"/>
  <c r="Z734" i="1" s="1"/>
  <c r="Y733" i="1"/>
  <c r="Y734" i="1" s="1"/>
  <c r="X733" i="1"/>
  <c r="X734" i="1" s="1"/>
  <c r="W733" i="1"/>
  <c r="W734" i="1" s="1"/>
  <c r="V733" i="1"/>
  <c r="V734" i="1" s="1"/>
  <c r="U733" i="1"/>
  <c r="T733" i="1"/>
  <c r="P733" i="1"/>
  <c r="AP732" i="1"/>
  <c r="AC732" i="1"/>
  <c r="P732" i="1"/>
  <c r="AP731" i="1"/>
  <c r="AC731" i="1"/>
  <c r="P731" i="1"/>
  <c r="P734" i="1" s="1"/>
  <c r="G728" i="1"/>
  <c r="F728" i="1"/>
  <c r="E728" i="1"/>
  <c r="D728" i="1"/>
  <c r="AO727" i="1"/>
  <c r="AO728" i="1" s="1"/>
  <c r="AN727" i="1"/>
  <c r="AN728" i="1" s="1"/>
  <c r="AM727" i="1"/>
  <c r="AM728" i="1" s="1"/>
  <c r="AL727" i="1"/>
  <c r="AL728" i="1" s="1"/>
  <c r="AK727" i="1"/>
  <c r="AK728" i="1" s="1"/>
  <c r="AJ727" i="1"/>
  <c r="AJ728" i="1" s="1"/>
  <c r="AI727" i="1"/>
  <c r="AI728" i="1" s="1"/>
  <c r="AH727" i="1"/>
  <c r="AH728" i="1" s="1"/>
  <c r="AG727" i="1"/>
  <c r="AG728" i="1" s="1"/>
  <c r="AF727" i="1"/>
  <c r="AF728" i="1" s="1"/>
  <c r="AE727" i="1"/>
  <c r="AE728" i="1" s="1"/>
  <c r="AD727" i="1"/>
  <c r="AD728" i="1" s="1"/>
  <c r="AB727" i="1"/>
  <c r="AB728" i="1" s="1"/>
  <c r="AA727" i="1"/>
  <c r="AA728" i="1" s="1"/>
  <c r="Z727" i="1"/>
  <c r="Z728" i="1" s="1"/>
  <c r="Y727" i="1"/>
  <c r="Y728" i="1" s="1"/>
  <c r="X727" i="1"/>
  <c r="X728" i="1" s="1"/>
  <c r="W727" i="1"/>
  <c r="W728" i="1" s="1"/>
  <c r="V727" i="1"/>
  <c r="V728" i="1" s="1"/>
  <c r="U727" i="1"/>
  <c r="U728" i="1" s="1"/>
  <c r="T727" i="1"/>
  <c r="T728" i="1" s="1"/>
  <c r="S727" i="1"/>
  <c r="S728" i="1" s="1"/>
  <c r="R727" i="1"/>
  <c r="Q727" i="1"/>
  <c r="Q728" i="1" s="1"/>
  <c r="O727" i="1"/>
  <c r="O728" i="1" s="1"/>
  <c r="N727" i="1"/>
  <c r="N728" i="1" s="1"/>
  <c r="M727" i="1"/>
  <c r="M728" i="1" s="1"/>
  <c r="L727" i="1"/>
  <c r="L728" i="1" s="1"/>
  <c r="K727" i="1"/>
  <c r="K728" i="1" s="1"/>
  <c r="J727" i="1"/>
  <c r="J728" i="1" s="1"/>
  <c r="I727" i="1"/>
  <c r="I728" i="1" s="1"/>
  <c r="H727" i="1"/>
  <c r="H728" i="1" s="1"/>
  <c r="AP726" i="1"/>
  <c r="AC726" i="1"/>
  <c r="P726" i="1"/>
  <c r="AP725" i="1"/>
  <c r="AC725" i="1"/>
  <c r="P725" i="1"/>
  <c r="AG722" i="1"/>
  <c r="Q722" i="1"/>
  <c r="G722" i="1"/>
  <c r="F722" i="1"/>
  <c r="E722" i="1"/>
  <c r="D722" i="1"/>
  <c r="AO721" i="1"/>
  <c r="AO722" i="1" s="1"/>
  <c r="AN721" i="1"/>
  <c r="AN722" i="1" s="1"/>
  <c r="AM721" i="1"/>
  <c r="AM722" i="1" s="1"/>
  <c r="AL721" i="1"/>
  <c r="AL722" i="1" s="1"/>
  <c r="AK721" i="1"/>
  <c r="AK722" i="1" s="1"/>
  <c r="AJ721" i="1"/>
  <c r="AJ722" i="1" s="1"/>
  <c r="AI721" i="1"/>
  <c r="AI722" i="1" s="1"/>
  <c r="AH721" i="1"/>
  <c r="AH722" i="1" s="1"/>
  <c r="AG721" i="1"/>
  <c r="AF721" i="1"/>
  <c r="AF722" i="1" s="1"/>
  <c r="AE721" i="1"/>
  <c r="AE722" i="1" s="1"/>
  <c r="AD721" i="1"/>
  <c r="AB721" i="1"/>
  <c r="AB722" i="1" s="1"/>
  <c r="AA721" i="1"/>
  <c r="AA722" i="1" s="1"/>
  <c r="Z721" i="1"/>
  <c r="Z722" i="1" s="1"/>
  <c r="Y721" i="1"/>
  <c r="Y722" i="1" s="1"/>
  <c r="X721" i="1"/>
  <c r="X722" i="1" s="1"/>
  <c r="W721" i="1"/>
  <c r="W722" i="1" s="1"/>
  <c r="V721" i="1"/>
  <c r="V722" i="1" s="1"/>
  <c r="U721" i="1"/>
  <c r="U722" i="1" s="1"/>
  <c r="T721" i="1"/>
  <c r="T722" i="1" s="1"/>
  <c r="S721" i="1"/>
  <c r="S722" i="1" s="1"/>
  <c r="R721" i="1"/>
  <c r="R722" i="1" s="1"/>
  <c r="Q721" i="1"/>
  <c r="O721" i="1"/>
  <c r="O722" i="1" s="1"/>
  <c r="N721" i="1"/>
  <c r="N722" i="1" s="1"/>
  <c r="M721" i="1"/>
  <c r="M722" i="1" s="1"/>
  <c r="L721" i="1"/>
  <c r="L722" i="1" s="1"/>
  <c r="K721" i="1"/>
  <c r="K722" i="1" s="1"/>
  <c r="J721" i="1"/>
  <c r="J722" i="1" s="1"/>
  <c r="I721" i="1"/>
  <c r="I722" i="1" s="1"/>
  <c r="H721" i="1"/>
  <c r="H722" i="1" s="1"/>
  <c r="AP720" i="1"/>
  <c r="AC720" i="1"/>
  <c r="P720" i="1"/>
  <c r="AP719" i="1"/>
  <c r="AC719" i="1"/>
  <c r="P719" i="1"/>
  <c r="F716" i="1"/>
  <c r="E716" i="1"/>
  <c r="D716" i="1"/>
  <c r="AO715" i="1"/>
  <c r="AO716" i="1" s="1"/>
  <c r="AN715" i="1"/>
  <c r="AN716" i="1" s="1"/>
  <c r="AM715" i="1"/>
  <c r="AM716" i="1" s="1"/>
  <c r="AL715" i="1"/>
  <c r="AL716" i="1" s="1"/>
  <c r="AK715" i="1"/>
  <c r="AK716" i="1" s="1"/>
  <c r="AJ715" i="1"/>
  <c r="AJ716" i="1" s="1"/>
  <c r="AI715" i="1"/>
  <c r="AI716" i="1" s="1"/>
  <c r="AH715" i="1"/>
  <c r="AH716" i="1" s="1"/>
  <c r="AG715" i="1"/>
  <c r="AG716" i="1" s="1"/>
  <c r="AF715" i="1"/>
  <c r="AF716" i="1" s="1"/>
  <c r="AE715" i="1"/>
  <c r="AE716" i="1" s="1"/>
  <c r="AD715" i="1"/>
  <c r="AD716" i="1" s="1"/>
  <c r="AB715" i="1"/>
  <c r="AB716" i="1" s="1"/>
  <c r="AA715" i="1"/>
  <c r="AA716" i="1" s="1"/>
  <c r="Z715" i="1"/>
  <c r="Z716" i="1" s="1"/>
  <c r="Y715" i="1"/>
  <c r="Y716" i="1" s="1"/>
  <c r="X715" i="1"/>
  <c r="X716" i="1" s="1"/>
  <c r="W715" i="1"/>
  <c r="W716" i="1" s="1"/>
  <c r="V715" i="1"/>
  <c r="V716" i="1" s="1"/>
  <c r="U715" i="1"/>
  <c r="U716" i="1" s="1"/>
  <c r="T715" i="1"/>
  <c r="T716" i="1" s="1"/>
  <c r="S715" i="1"/>
  <c r="S716" i="1" s="1"/>
  <c r="R715" i="1"/>
  <c r="R716" i="1" s="1"/>
  <c r="Q715" i="1"/>
  <c r="Q716" i="1" s="1"/>
  <c r="O715" i="1"/>
  <c r="O716" i="1" s="1"/>
  <c r="N715" i="1"/>
  <c r="N716" i="1" s="1"/>
  <c r="M715" i="1"/>
  <c r="M716" i="1" s="1"/>
  <c r="L715" i="1"/>
  <c r="L716" i="1" s="1"/>
  <c r="K715" i="1"/>
  <c r="K716" i="1" s="1"/>
  <c r="J715" i="1"/>
  <c r="J716" i="1" s="1"/>
  <c r="I715" i="1"/>
  <c r="I716" i="1" s="1"/>
  <c r="H715" i="1"/>
  <c r="H716" i="1" s="1"/>
  <c r="G715" i="1"/>
  <c r="G716" i="1" s="1"/>
  <c r="AP714" i="1"/>
  <c r="AC714" i="1"/>
  <c r="P714" i="1"/>
  <c r="AP713" i="1"/>
  <c r="AC713" i="1"/>
  <c r="P713" i="1"/>
  <c r="AO710" i="1"/>
  <c r="AN710" i="1"/>
  <c r="AM710" i="1"/>
  <c r="AL710" i="1"/>
  <c r="AK710" i="1"/>
  <c r="AJ710" i="1"/>
  <c r="AI710" i="1"/>
  <c r="AH710" i="1"/>
  <c r="AG710" i="1"/>
  <c r="AF710" i="1"/>
  <c r="AE710" i="1"/>
  <c r="AD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AP709" i="1"/>
  <c r="AC709" i="1"/>
  <c r="P709" i="1"/>
  <c r="AP708" i="1"/>
  <c r="AP710" i="1" s="1"/>
  <c r="AC708" i="1"/>
  <c r="P708" i="1"/>
  <c r="AP707" i="1"/>
  <c r="AC707" i="1"/>
  <c r="P707" i="1"/>
  <c r="AK704" i="1"/>
  <c r="AE704" i="1"/>
  <c r="AA704" i="1"/>
  <c r="Z704" i="1"/>
  <c r="Y704" i="1"/>
  <c r="X704" i="1"/>
  <c r="W704" i="1"/>
  <c r="V704" i="1"/>
  <c r="U704" i="1"/>
  <c r="T704" i="1"/>
  <c r="S704" i="1"/>
  <c r="R704" i="1"/>
  <c r="Q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AO703" i="1"/>
  <c r="AO704" i="1" s="1"/>
  <c r="AN703" i="1"/>
  <c r="AN704" i="1" s="1"/>
  <c r="AM703" i="1"/>
  <c r="AM704" i="1" s="1"/>
  <c r="AL703" i="1"/>
  <c r="AL704" i="1" s="1"/>
  <c r="AK703" i="1"/>
  <c r="AJ703" i="1"/>
  <c r="AJ704" i="1" s="1"/>
  <c r="AI703" i="1"/>
  <c r="AI704" i="1" s="1"/>
  <c r="AH703" i="1"/>
  <c r="AH704" i="1" s="1"/>
  <c r="AG703" i="1"/>
  <c r="AF703" i="1"/>
  <c r="AF704" i="1" s="1"/>
  <c r="AE703" i="1"/>
  <c r="AD703" i="1"/>
  <c r="AD704" i="1" s="1"/>
  <c r="AB703" i="1"/>
  <c r="AC703" i="1" s="1"/>
  <c r="P703" i="1"/>
  <c r="AP702" i="1"/>
  <c r="AC702" i="1"/>
  <c r="P702" i="1"/>
  <c r="AP701" i="1"/>
  <c r="AC701" i="1"/>
  <c r="P701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AO697" i="1"/>
  <c r="AO698" i="1" s="1"/>
  <c r="AN697" i="1"/>
  <c r="AN698" i="1" s="1"/>
  <c r="AM697" i="1"/>
  <c r="AM698" i="1" s="1"/>
  <c r="AL697" i="1"/>
  <c r="AL698" i="1" s="1"/>
  <c r="AK697" i="1"/>
  <c r="AK698" i="1" s="1"/>
  <c r="AJ697" i="1"/>
  <c r="AJ698" i="1" s="1"/>
  <c r="AI697" i="1"/>
  <c r="AI698" i="1" s="1"/>
  <c r="AH697" i="1"/>
  <c r="AH698" i="1" s="1"/>
  <c r="AG697" i="1"/>
  <c r="AG698" i="1" s="1"/>
  <c r="AF697" i="1"/>
  <c r="AF698" i="1" s="1"/>
  <c r="AE697" i="1"/>
  <c r="AE698" i="1" s="1"/>
  <c r="AD697" i="1"/>
  <c r="AD698" i="1" s="1"/>
  <c r="AB697" i="1"/>
  <c r="AB698" i="1" s="1"/>
  <c r="AA697" i="1"/>
  <c r="AA698" i="1" s="1"/>
  <c r="Z697" i="1"/>
  <c r="Z698" i="1" s="1"/>
  <c r="Y697" i="1"/>
  <c r="Y698" i="1" s="1"/>
  <c r="X697" i="1"/>
  <c r="X698" i="1" s="1"/>
  <c r="W697" i="1"/>
  <c r="W698" i="1" s="1"/>
  <c r="V697" i="1"/>
  <c r="V698" i="1" s="1"/>
  <c r="U697" i="1"/>
  <c r="U698" i="1" s="1"/>
  <c r="T697" i="1"/>
  <c r="T698" i="1" s="1"/>
  <c r="S697" i="1"/>
  <c r="S698" i="1" s="1"/>
  <c r="R697" i="1"/>
  <c r="R698" i="1" s="1"/>
  <c r="Q697" i="1"/>
  <c r="P697" i="1"/>
  <c r="AP696" i="1"/>
  <c r="AC696" i="1"/>
  <c r="P696" i="1"/>
  <c r="AP695" i="1"/>
  <c r="AC695" i="1"/>
  <c r="P695" i="1"/>
  <c r="W692" i="1"/>
  <c r="R692" i="1"/>
  <c r="J692" i="1"/>
  <c r="I692" i="1"/>
  <c r="H692" i="1"/>
  <c r="G692" i="1"/>
  <c r="F692" i="1"/>
  <c r="E692" i="1"/>
  <c r="D692" i="1"/>
  <c r="AO691" i="1"/>
  <c r="AO692" i="1" s="1"/>
  <c r="AN691" i="1"/>
  <c r="AN692" i="1" s="1"/>
  <c r="AM691" i="1"/>
  <c r="AM692" i="1" s="1"/>
  <c r="AL691" i="1"/>
  <c r="AL692" i="1" s="1"/>
  <c r="AK691" i="1"/>
  <c r="AK692" i="1" s="1"/>
  <c r="AJ691" i="1"/>
  <c r="AJ692" i="1" s="1"/>
  <c r="AI691" i="1"/>
  <c r="AI692" i="1" s="1"/>
  <c r="AH691" i="1"/>
  <c r="AH692" i="1" s="1"/>
  <c r="AG691" i="1"/>
  <c r="AG692" i="1" s="1"/>
  <c r="AF691" i="1"/>
  <c r="AF692" i="1" s="1"/>
  <c r="AE691" i="1"/>
  <c r="AE692" i="1" s="1"/>
  <c r="AD691" i="1"/>
  <c r="AD692" i="1" s="1"/>
  <c r="AB691" i="1"/>
  <c r="AB692" i="1" s="1"/>
  <c r="AA691" i="1"/>
  <c r="AA692" i="1" s="1"/>
  <c r="Z691" i="1"/>
  <c r="Z692" i="1" s="1"/>
  <c r="Y691" i="1"/>
  <c r="Y692" i="1" s="1"/>
  <c r="X691" i="1"/>
  <c r="X692" i="1" s="1"/>
  <c r="W691" i="1"/>
  <c r="V691" i="1"/>
  <c r="V692" i="1" s="1"/>
  <c r="U691" i="1"/>
  <c r="U692" i="1" s="1"/>
  <c r="T691" i="1"/>
  <c r="T692" i="1" s="1"/>
  <c r="S691" i="1"/>
  <c r="S692" i="1" s="1"/>
  <c r="R691" i="1"/>
  <c r="Q691" i="1"/>
  <c r="O691" i="1"/>
  <c r="O692" i="1" s="1"/>
  <c r="N691" i="1"/>
  <c r="N692" i="1" s="1"/>
  <c r="M691" i="1"/>
  <c r="M692" i="1" s="1"/>
  <c r="L691" i="1"/>
  <c r="L692" i="1" s="1"/>
  <c r="K691" i="1"/>
  <c r="K692" i="1" s="1"/>
  <c r="AP690" i="1"/>
  <c r="AC690" i="1"/>
  <c r="P690" i="1"/>
  <c r="AP689" i="1"/>
  <c r="AC689" i="1"/>
  <c r="P689" i="1"/>
  <c r="AO686" i="1"/>
  <c r="AN686" i="1"/>
  <c r="AM686" i="1"/>
  <c r="AL686" i="1"/>
  <c r="AK686" i="1"/>
  <c r="AJ686" i="1"/>
  <c r="AI686" i="1"/>
  <c r="AH686" i="1"/>
  <c r="AG686" i="1"/>
  <c r="AF686" i="1"/>
  <c r="AE686" i="1"/>
  <c r="AD686" i="1"/>
  <c r="AB686" i="1"/>
  <c r="AA686" i="1"/>
  <c r="Z686" i="1"/>
  <c r="Y686" i="1"/>
  <c r="X686" i="1"/>
  <c r="W686" i="1"/>
  <c r="V686" i="1"/>
  <c r="U686" i="1"/>
  <c r="T686" i="1"/>
  <c r="S686" i="1"/>
  <c r="R686" i="1"/>
  <c r="Q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AP685" i="1"/>
  <c r="AC685" i="1"/>
  <c r="P685" i="1"/>
  <c r="AP684" i="1"/>
  <c r="AP686" i="1" s="1"/>
  <c r="AC684" i="1"/>
  <c r="P684" i="1"/>
  <c r="AP683" i="1"/>
  <c r="AC683" i="1"/>
  <c r="P683" i="1"/>
  <c r="AI680" i="1"/>
  <c r="S680" i="1"/>
  <c r="N680" i="1"/>
  <c r="J680" i="1"/>
  <c r="I680" i="1"/>
  <c r="H680" i="1"/>
  <c r="G680" i="1"/>
  <c r="F680" i="1"/>
  <c r="E680" i="1"/>
  <c r="D680" i="1"/>
  <c r="AO679" i="1"/>
  <c r="AO680" i="1" s="1"/>
  <c r="AN679" i="1"/>
  <c r="AN680" i="1" s="1"/>
  <c r="AM679" i="1"/>
  <c r="AM680" i="1" s="1"/>
  <c r="AL679" i="1"/>
  <c r="AL680" i="1" s="1"/>
  <c r="AK679" i="1"/>
  <c r="AK680" i="1" s="1"/>
  <c r="AJ679" i="1"/>
  <c r="AJ680" i="1" s="1"/>
  <c r="AI679" i="1"/>
  <c r="AH679" i="1"/>
  <c r="AH680" i="1" s="1"/>
  <c r="AG679" i="1"/>
  <c r="AG680" i="1" s="1"/>
  <c r="AF679" i="1"/>
  <c r="AF680" i="1" s="1"/>
  <c r="AE679" i="1"/>
  <c r="AE680" i="1" s="1"/>
  <c r="AD679" i="1"/>
  <c r="AD680" i="1" s="1"/>
  <c r="AB679" i="1"/>
  <c r="AB680" i="1" s="1"/>
  <c r="AA679" i="1"/>
  <c r="AA680" i="1" s="1"/>
  <c r="Z679" i="1"/>
  <c r="Z680" i="1" s="1"/>
  <c r="Y679" i="1"/>
  <c r="Y680" i="1" s="1"/>
  <c r="X679" i="1"/>
  <c r="X680" i="1" s="1"/>
  <c r="W679" i="1"/>
  <c r="W680" i="1" s="1"/>
  <c r="V679" i="1"/>
  <c r="V680" i="1" s="1"/>
  <c r="U679" i="1"/>
  <c r="U680" i="1" s="1"/>
  <c r="T679" i="1"/>
  <c r="T680" i="1" s="1"/>
  <c r="S679" i="1"/>
  <c r="R679" i="1"/>
  <c r="R680" i="1" s="1"/>
  <c r="Q679" i="1"/>
  <c r="O679" i="1"/>
  <c r="O680" i="1" s="1"/>
  <c r="N679" i="1"/>
  <c r="M679" i="1"/>
  <c r="M680" i="1" s="1"/>
  <c r="L679" i="1"/>
  <c r="K679" i="1"/>
  <c r="K680" i="1" s="1"/>
  <c r="AP678" i="1"/>
  <c r="AC678" i="1"/>
  <c r="P678" i="1"/>
  <c r="AP677" i="1"/>
  <c r="AC677" i="1"/>
  <c r="P677" i="1"/>
  <c r="AN674" i="1"/>
  <c r="Z674" i="1"/>
  <c r="Y674" i="1"/>
  <c r="X674" i="1"/>
  <c r="W674" i="1"/>
  <c r="V674" i="1"/>
  <c r="U674" i="1"/>
  <c r="T674" i="1"/>
  <c r="S674" i="1"/>
  <c r="R674" i="1"/>
  <c r="Q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AO673" i="1"/>
  <c r="AO674" i="1" s="1"/>
  <c r="AN673" i="1"/>
  <c r="AM673" i="1"/>
  <c r="AM674" i="1" s="1"/>
  <c r="AL673" i="1"/>
  <c r="AL674" i="1" s="1"/>
  <c r="AK673" i="1"/>
  <c r="AK674" i="1" s="1"/>
  <c r="AJ673" i="1"/>
  <c r="AJ674" i="1" s="1"/>
  <c r="AI673" i="1"/>
  <c r="AI674" i="1" s="1"/>
  <c r="AH673" i="1"/>
  <c r="AH674" i="1" s="1"/>
  <c r="AG673" i="1"/>
  <c r="AG674" i="1" s="1"/>
  <c r="AF673" i="1"/>
  <c r="AF674" i="1" s="1"/>
  <c r="AE673" i="1"/>
  <c r="AE674" i="1" s="1"/>
  <c r="AD673" i="1"/>
  <c r="AD674" i="1" s="1"/>
  <c r="AB673" i="1"/>
  <c r="AB674" i="1" s="1"/>
  <c r="AA673" i="1"/>
  <c r="AC673" i="1" s="1"/>
  <c r="P673" i="1"/>
  <c r="AP672" i="1"/>
  <c r="AC672" i="1"/>
  <c r="P672" i="1"/>
  <c r="AP671" i="1"/>
  <c r="AC671" i="1"/>
  <c r="P671" i="1"/>
  <c r="AO668" i="1"/>
  <c r="AN668" i="1"/>
  <c r="AM668" i="1"/>
  <c r="AL668" i="1"/>
  <c r="AK668" i="1"/>
  <c r="AJ668" i="1"/>
  <c r="AI668" i="1"/>
  <c r="AH668" i="1"/>
  <c r="AG668" i="1"/>
  <c r="AF668" i="1"/>
  <c r="AE668" i="1"/>
  <c r="AD668" i="1"/>
  <c r="AB668" i="1"/>
  <c r="AA668" i="1"/>
  <c r="Z668" i="1"/>
  <c r="Y668" i="1"/>
  <c r="X668" i="1"/>
  <c r="W668" i="1"/>
  <c r="V668" i="1"/>
  <c r="U668" i="1"/>
  <c r="T668" i="1"/>
  <c r="S668" i="1"/>
  <c r="R668" i="1"/>
  <c r="Q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AP667" i="1"/>
  <c r="AC667" i="1"/>
  <c r="D667" i="1"/>
  <c r="P667" i="1" s="1"/>
  <c r="AP666" i="1"/>
  <c r="AC666" i="1"/>
  <c r="P666" i="1"/>
  <c r="AP665" i="1"/>
  <c r="AP668" i="1" s="1"/>
  <c r="AC665" i="1"/>
  <c r="P665" i="1"/>
  <c r="Z662" i="1"/>
  <c r="AO661" i="1"/>
  <c r="AO662" i="1" s="1"/>
  <c r="AN661" i="1"/>
  <c r="AN662" i="1" s="1"/>
  <c r="AM661" i="1"/>
  <c r="AM662" i="1" s="1"/>
  <c r="AL661" i="1"/>
  <c r="AL662" i="1" s="1"/>
  <c r="AK661" i="1"/>
  <c r="AK662" i="1" s="1"/>
  <c r="AJ661" i="1"/>
  <c r="AJ662" i="1" s="1"/>
  <c r="AI661" i="1"/>
  <c r="AI662" i="1" s="1"/>
  <c r="AH661" i="1"/>
  <c r="AH662" i="1" s="1"/>
  <c r="AG661" i="1"/>
  <c r="AG662" i="1" s="1"/>
  <c r="AF661" i="1"/>
  <c r="AF662" i="1" s="1"/>
  <c r="AE661" i="1"/>
  <c r="AE662" i="1" s="1"/>
  <c r="AD661" i="1"/>
  <c r="AB661" i="1"/>
  <c r="AB662" i="1" s="1"/>
  <c r="AA661" i="1"/>
  <c r="AA662" i="1" s="1"/>
  <c r="Z661" i="1"/>
  <c r="Y661" i="1"/>
  <c r="Y662" i="1" s="1"/>
  <c r="X661" i="1"/>
  <c r="X662" i="1" s="1"/>
  <c r="W661" i="1"/>
  <c r="W662" i="1" s="1"/>
  <c r="V661" i="1"/>
  <c r="V662" i="1" s="1"/>
  <c r="U661" i="1"/>
  <c r="U662" i="1" s="1"/>
  <c r="T661" i="1"/>
  <c r="T662" i="1" s="1"/>
  <c r="S661" i="1"/>
  <c r="S662" i="1" s="1"/>
  <c r="R661" i="1"/>
  <c r="R662" i="1" s="1"/>
  <c r="Q661" i="1"/>
  <c r="O661" i="1"/>
  <c r="O662" i="1" s="1"/>
  <c r="N661" i="1"/>
  <c r="N662" i="1" s="1"/>
  <c r="M661" i="1"/>
  <c r="M662" i="1" s="1"/>
  <c r="L661" i="1"/>
  <c r="L662" i="1" s="1"/>
  <c r="K661" i="1"/>
  <c r="K662" i="1" s="1"/>
  <c r="J661" i="1"/>
  <c r="J662" i="1" s="1"/>
  <c r="I661" i="1"/>
  <c r="I662" i="1" s="1"/>
  <c r="H661" i="1"/>
  <c r="H662" i="1" s="1"/>
  <c r="G661" i="1"/>
  <c r="G662" i="1" s="1"/>
  <c r="F661" i="1"/>
  <c r="F662" i="1" s="1"/>
  <c r="E661" i="1"/>
  <c r="E662" i="1" s="1"/>
  <c r="D661" i="1"/>
  <c r="AP660" i="1"/>
  <c r="AC660" i="1"/>
  <c r="P660" i="1"/>
  <c r="AP659" i="1"/>
  <c r="AC659" i="1"/>
  <c r="P659" i="1"/>
  <c r="AO656" i="1"/>
  <c r="AN656" i="1"/>
  <c r="AM656" i="1"/>
  <c r="AL656" i="1"/>
  <c r="AK656" i="1"/>
  <c r="AJ656" i="1"/>
  <c r="AI656" i="1"/>
  <c r="AH656" i="1"/>
  <c r="AG656" i="1"/>
  <c r="AF656" i="1"/>
  <c r="AE656" i="1"/>
  <c r="AD656" i="1"/>
  <c r="AB656" i="1"/>
  <c r="AA656" i="1"/>
  <c r="Z656" i="1"/>
  <c r="Y656" i="1"/>
  <c r="X656" i="1"/>
  <c r="W656" i="1"/>
  <c r="V656" i="1"/>
  <c r="U656" i="1"/>
  <c r="T656" i="1"/>
  <c r="S656" i="1"/>
  <c r="R656" i="1"/>
  <c r="Q656" i="1"/>
  <c r="M656" i="1"/>
  <c r="AP655" i="1"/>
  <c r="AC655" i="1"/>
  <c r="O655" i="1"/>
  <c r="O656" i="1" s="1"/>
  <c r="N655" i="1"/>
  <c r="N656" i="1" s="1"/>
  <c r="M655" i="1"/>
  <c r="L655" i="1"/>
  <c r="L656" i="1" s="1"/>
  <c r="K655" i="1"/>
  <c r="K656" i="1" s="1"/>
  <c r="J655" i="1"/>
  <c r="J656" i="1" s="1"/>
  <c r="I655" i="1"/>
  <c r="I656" i="1" s="1"/>
  <c r="H655" i="1"/>
  <c r="H656" i="1" s="1"/>
  <c r="G655" i="1"/>
  <c r="G656" i="1" s="1"/>
  <c r="F655" i="1"/>
  <c r="F656" i="1" s="1"/>
  <c r="E655" i="1"/>
  <c r="E656" i="1" s="1"/>
  <c r="D655" i="1"/>
  <c r="AP654" i="1"/>
  <c r="AC654" i="1"/>
  <c r="P654" i="1"/>
  <c r="AP653" i="1"/>
  <c r="AP656" i="1" s="1"/>
  <c r="AC653" i="1"/>
  <c r="P653" i="1"/>
  <c r="AO650" i="1"/>
  <c r="AN650" i="1"/>
  <c r="AM650" i="1"/>
  <c r="AL650" i="1"/>
  <c r="AK650" i="1"/>
  <c r="AJ650" i="1"/>
  <c r="AI650" i="1"/>
  <c r="AH650" i="1"/>
  <c r="AG650" i="1"/>
  <c r="AF650" i="1"/>
  <c r="AE650" i="1"/>
  <c r="AD650" i="1"/>
  <c r="AB650" i="1"/>
  <c r="AA650" i="1"/>
  <c r="Z650" i="1"/>
  <c r="Y650" i="1"/>
  <c r="X650" i="1"/>
  <c r="W650" i="1"/>
  <c r="V650" i="1"/>
  <c r="U650" i="1"/>
  <c r="T650" i="1"/>
  <c r="S650" i="1"/>
  <c r="R650" i="1"/>
  <c r="Q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AP649" i="1"/>
  <c r="AC649" i="1"/>
  <c r="P649" i="1"/>
  <c r="AP648" i="1"/>
  <c r="AC648" i="1"/>
  <c r="P648" i="1"/>
  <c r="AP647" i="1"/>
  <c r="AC647" i="1"/>
  <c r="P647" i="1"/>
  <c r="AO644" i="1"/>
  <c r="AH644" i="1"/>
  <c r="U644" i="1"/>
  <c r="T644" i="1"/>
  <c r="S644" i="1"/>
  <c r="R644" i="1"/>
  <c r="Q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AO643" i="1"/>
  <c r="AN643" i="1"/>
  <c r="AN644" i="1" s="1"/>
  <c r="AM643" i="1"/>
  <c r="AM644" i="1" s="1"/>
  <c r="AL643" i="1"/>
  <c r="AL644" i="1" s="1"/>
  <c r="AK643" i="1"/>
  <c r="AK644" i="1" s="1"/>
  <c r="AJ643" i="1"/>
  <c r="AJ644" i="1" s="1"/>
  <c r="AI643" i="1"/>
  <c r="AI644" i="1" s="1"/>
  <c r="AH643" i="1"/>
  <c r="AG643" i="1"/>
  <c r="AG644" i="1" s="1"/>
  <c r="AF643" i="1"/>
  <c r="AF644" i="1" s="1"/>
  <c r="AE643" i="1"/>
  <c r="AE644" i="1" s="1"/>
  <c r="AD643" i="1"/>
  <c r="AD644" i="1" s="1"/>
  <c r="AB643" i="1"/>
  <c r="AB644" i="1" s="1"/>
  <c r="AA643" i="1"/>
  <c r="AA644" i="1" s="1"/>
  <c r="Z643" i="1"/>
  <c r="Z644" i="1" s="1"/>
  <c r="Y643" i="1"/>
  <c r="Y644" i="1" s="1"/>
  <c r="X643" i="1"/>
  <c r="X644" i="1" s="1"/>
  <c r="W643" i="1"/>
  <c r="W644" i="1" s="1"/>
  <c r="V643" i="1"/>
  <c r="P643" i="1"/>
  <c r="AP642" i="1"/>
  <c r="AC642" i="1"/>
  <c r="P642" i="1"/>
  <c r="AP641" i="1"/>
  <c r="AC641" i="1"/>
  <c r="P641" i="1"/>
  <c r="AO638" i="1"/>
  <c r="AN638" i="1"/>
  <c r="AM638" i="1"/>
  <c r="AL638" i="1"/>
  <c r="AK638" i="1"/>
  <c r="AJ638" i="1"/>
  <c r="AI638" i="1"/>
  <c r="AH638" i="1"/>
  <c r="AG638" i="1"/>
  <c r="AF638" i="1"/>
  <c r="AE638" i="1"/>
  <c r="AD638" i="1"/>
  <c r="AB638" i="1"/>
  <c r="AA638" i="1"/>
  <c r="Z638" i="1"/>
  <c r="Y638" i="1"/>
  <c r="X638" i="1"/>
  <c r="W638" i="1"/>
  <c r="V638" i="1"/>
  <c r="U638" i="1"/>
  <c r="T638" i="1"/>
  <c r="S638" i="1"/>
  <c r="R638" i="1"/>
  <c r="Q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AP637" i="1"/>
  <c r="AC637" i="1"/>
  <c r="P637" i="1"/>
  <c r="AP636" i="1"/>
  <c r="AC636" i="1"/>
  <c r="P636" i="1"/>
  <c r="AP635" i="1"/>
  <c r="AC635" i="1"/>
  <c r="AC638" i="1" s="1"/>
  <c r="P635" i="1"/>
  <c r="Z632" i="1"/>
  <c r="U632" i="1"/>
  <c r="T632" i="1"/>
  <c r="S632" i="1"/>
  <c r="R632" i="1"/>
  <c r="Q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AO631" i="1"/>
  <c r="AO632" i="1" s="1"/>
  <c r="AN631" i="1"/>
  <c r="AN632" i="1" s="1"/>
  <c r="AM631" i="1"/>
  <c r="AM632" i="1" s="1"/>
  <c r="AL631" i="1"/>
  <c r="AL632" i="1" s="1"/>
  <c r="AK631" i="1"/>
  <c r="AK632" i="1" s="1"/>
  <c r="AJ631" i="1"/>
  <c r="AJ632" i="1" s="1"/>
  <c r="AI631" i="1"/>
  <c r="AI632" i="1" s="1"/>
  <c r="AH631" i="1"/>
  <c r="AH632" i="1" s="1"/>
  <c r="AG631" i="1"/>
  <c r="AG632" i="1" s="1"/>
  <c r="AF631" i="1"/>
  <c r="AF632" i="1" s="1"/>
  <c r="AE631" i="1"/>
  <c r="AE632" i="1" s="1"/>
  <c r="AD631" i="1"/>
  <c r="AD632" i="1" s="1"/>
  <c r="AB631" i="1"/>
  <c r="AB632" i="1" s="1"/>
  <c r="AA631" i="1"/>
  <c r="AA632" i="1" s="1"/>
  <c r="Z631" i="1"/>
  <c r="Y631" i="1"/>
  <c r="Y632" i="1" s="1"/>
  <c r="X631" i="1"/>
  <c r="X632" i="1" s="1"/>
  <c r="W631" i="1"/>
  <c r="W632" i="1" s="1"/>
  <c r="V631" i="1"/>
  <c r="V632" i="1" s="1"/>
  <c r="P631" i="1"/>
  <c r="AP630" i="1"/>
  <c r="AC630" i="1"/>
  <c r="P630" i="1"/>
  <c r="AP629" i="1"/>
  <c r="AC629" i="1"/>
  <c r="P629" i="1"/>
  <c r="AL626" i="1"/>
  <c r="T626" i="1"/>
  <c r="S626" i="1"/>
  <c r="R626" i="1"/>
  <c r="Q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AO625" i="1"/>
  <c r="AO626" i="1" s="1"/>
  <c r="AN625" i="1"/>
  <c r="AN626" i="1" s="1"/>
  <c r="AM625" i="1"/>
  <c r="AM626" i="1" s="1"/>
  <c r="AL625" i="1"/>
  <c r="AK625" i="1"/>
  <c r="AK626" i="1" s="1"/>
  <c r="AJ625" i="1"/>
  <c r="AJ626" i="1" s="1"/>
  <c r="AI625" i="1"/>
  <c r="AI626" i="1" s="1"/>
  <c r="AH625" i="1"/>
  <c r="AH626" i="1" s="1"/>
  <c r="AG625" i="1"/>
  <c r="AG626" i="1" s="1"/>
  <c r="AF625" i="1"/>
  <c r="AF626" i="1" s="1"/>
  <c r="AE625" i="1"/>
  <c r="AD625" i="1"/>
  <c r="AD626" i="1" s="1"/>
  <c r="AB625" i="1"/>
  <c r="AB626" i="1" s="1"/>
  <c r="AA625" i="1"/>
  <c r="AA626" i="1" s="1"/>
  <c r="Z625" i="1"/>
  <c r="Z626" i="1" s="1"/>
  <c r="Y625" i="1"/>
  <c r="Y626" i="1" s="1"/>
  <c r="X625" i="1"/>
  <c r="X626" i="1" s="1"/>
  <c r="W625" i="1"/>
  <c r="W626" i="1" s="1"/>
  <c r="V625" i="1"/>
  <c r="V626" i="1" s="1"/>
  <c r="U625" i="1"/>
  <c r="U626" i="1" s="1"/>
  <c r="P625" i="1"/>
  <c r="AP624" i="1"/>
  <c r="AC624" i="1"/>
  <c r="P624" i="1"/>
  <c r="AP623" i="1"/>
  <c r="AC623" i="1"/>
  <c r="P623" i="1"/>
  <c r="AN620" i="1"/>
  <c r="X620" i="1"/>
  <c r="R620" i="1"/>
  <c r="AO619" i="1"/>
  <c r="AO620" i="1" s="1"/>
  <c r="AN619" i="1"/>
  <c r="AM619" i="1"/>
  <c r="AM620" i="1" s="1"/>
  <c r="AL619" i="1"/>
  <c r="AL620" i="1" s="1"/>
  <c r="AK619" i="1"/>
  <c r="AK620" i="1" s="1"/>
  <c r="AJ619" i="1"/>
  <c r="AJ620" i="1" s="1"/>
  <c r="AI619" i="1"/>
  <c r="AI620" i="1" s="1"/>
  <c r="AH619" i="1"/>
  <c r="AH620" i="1" s="1"/>
  <c r="AG619" i="1"/>
  <c r="AG620" i="1" s="1"/>
  <c r="AF619" i="1"/>
  <c r="AF620" i="1" s="1"/>
  <c r="AE619" i="1"/>
  <c r="AE620" i="1" s="1"/>
  <c r="AD619" i="1"/>
  <c r="AD620" i="1" s="1"/>
  <c r="AB619" i="1"/>
  <c r="AB620" i="1" s="1"/>
  <c r="AA619" i="1"/>
  <c r="AA620" i="1" s="1"/>
  <c r="Z619" i="1"/>
  <c r="Z620" i="1" s="1"/>
  <c r="Y619" i="1"/>
  <c r="Y620" i="1" s="1"/>
  <c r="X619" i="1"/>
  <c r="W619" i="1"/>
  <c r="W620" i="1" s="1"/>
  <c r="V619" i="1"/>
  <c r="V620" i="1" s="1"/>
  <c r="U619" i="1"/>
  <c r="U620" i="1" s="1"/>
  <c r="T619" i="1"/>
  <c r="T620" i="1" s="1"/>
  <c r="S619" i="1"/>
  <c r="S620" i="1" s="1"/>
  <c r="R619" i="1"/>
  <c r="Q619" i="1"/>
  <c r="Q620" i="1" s="1"/>
  <c r="O619" i="1"/>
  <c r="O620" i="1" s="1"/>
  <c r="N619" i="1"/>
  <c r="N620" i="1" s="1"/>
  <c r="M619" i="1"/>
  <c r="M620" i="1" s="1"/>
  <c r="L619" i="1"/>
  <c r="L620" i="1" s="1"/>
  <c r="K619" i="1"/>
  <c r="K620" i="1" s="1"/>
  <c r="J619" i="1"/>
  <c r="J620" i="1" s="1"/>
  <c r="I619" i="1"/>
  <c r="I620" i="1" s="1"/>
  <c r="H619" i="1"/>
  <c r="H620" i="1" s="1"/>
  <c r="G619" i="1"/>
  <c r="G620" i="1" s="1"/>
  <c r="F619" i="1"/>
  <c r="F620" i="1" s="1"/>
  <c r="E619" i="1"/>
  <c r="E620" i="1" s="1"/>
  <c r="D619" i="1"/>
  <c r="AP618" i="1"/>
  <c r="AC618" i="1"/>
  <c r="P618" i="1"/>
  <c r="AP617" i="1"/>
  <c r="AC617" i="1"/>
  <c r="P617" i="1"/>
  <c r="H614" i="1"/>
  <c r="G614" i="1"/>
  <c r="AO613" i="1"/>
  <c r="AO614" i="1" s="1"/>
  <c r="AN613" i="1"/>
  <c r="AN614" i="1" s="1"/>
  <c r="AM613" i="1"/>
  <c r="AM614" i="1" s="1"/>
  <c r="AL613" i="1"/>
  <c r="AL614" i="1" s="1"/>
  <c r="AK613" i="1"/>
  <c r="AK614" i="1" s="1"/>
  <c r="AJ613" i="1"/>
  <c r="AJ614" i="1" s="1"/>
  <c r="AI613" i="1"/>
  <c r="AI614" i="1" s="1"/>
  <c r="AH613" i="1"/>
  <c r="AH614" i="1" s="1"/>
  <c r="AG613" i="1"/>
  <c r="AG614" i="1" s="1"/>
  <c r="AF613" i="1"/>
  <c r="AF614" i="1" s="1"/>
  <c r="AE613" i="1"/>
  <c r="AE614" i="1" s="1"/>
  <c r="AD613" i="1"/>
  <c r="AB613" i="1"/>
  <c r="AB614" i="1" s="1"/>
  <c r="AA613" i="1"/>
  <c r="AA614" i="1" s="1"/>
  <c r="Z613" i="1"/>
  <c r="Z614" i="1" s="1"/>
  <c r="Y613" i="1"/>
  <c r="Y614" i="1" s="1"/>
  <c r="X613" i="1"/>
  <c r="X614" i="1" s="1"/>
  <c r="W613" i="1"/>
  <c r="W614" i="1" s="1"/>
  <c r="V613" i="1"/>
  <c r="V614" i="1" s="1"/>
  <c r="U613" i="1"/>
  <c r="U614" i="1" s="1"/>
  <c r="T613" i="1"/>
  <c r="T614" i="1" s="1"/>
  <c r="S613" i="1"/>
  <c r="S614" i="1" s="1"/>
  <c r="R613" i="1"/>
  <c r="R614" i="1" s="1"/>
  <c r="Q613" i="1"/>
  <c r="Q614" i="1" s="1"/>
  <c r="O613" i="1"/>
  <c r="O614" i="1" s="1"/>
  <c r="N613" i="1"/>
  <c r="N614" i="1" s="1"/>
  <c r="M613" i="1"/>
  <c r="M614" i="1" s="1"/>
  <c r="L613" i="1"/>
  <c r="L614" i="1" s="1"/>
  <c r="K613" i="1"/>
  <c r="K614" i="1" s="1"/>
  <c r="J613" i="1"/>
  <c r="J614" i="1" s="1"/>
  <c r="I613" i="1"/>
  <c r="I614" i="1" s="1"/>
  <c r="H613" i="1"/>
  <c r="G613" i="1"/>
  <c r="F613" i="1"/>
  <c r="F614" i="1" s="1"/>
  <c r="E613" i="1"/>
  <c r="E614" i="1" s="1"/>
  <c r="D613" i="1"/>
  <c r="AP612" i="1"/>
  <c r="AC612" i="1"/>
  <c r="P612" i="1"/>
  <c r="AP611" i="1"/>
  <c r="AC611" i="1"/>
  <c r="P611" i="1"/>
  <c r="AG608" i="1"/>
  <c r="X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AO607" i="1"/>
  <c r="AO608" i="1" s="1"/>
  <c r="AN607" i="1"/>
  <c r="AN608" i="1" s="1"/>
  <c r="AM607" i="1"/>
  <c r="AM608" i="1" s="1"/>
  <c r="AL607" i="1"/>
  <c r="AL608" i="1" s="1"/>
  <c r="AK607" i="1"/>
  <c r="AK608" i="1" s="1"/>
  <c r="AJ607" i="1"/>
  <c r="AJ608" i="1" s="1"/>
  <c r="AI607" i="1"/>
  <c r="AI608" i="1" s="1"/>
  <c r="AH607" i="1"/>
  <c r="AH608" i="1" s="1"/>
  <c r="AG607" i="1"/>
  <c r="AF607" i="1"/>
  <c r="AF608" i="1" s="1"/>
  <c r="AE607" i="1"/>
  <c r="AE608" i="1" s="1"/>
  <c r="AD607" i="1"/>
  <c r="AB607" i="1"/>
  <c r="AB608" i="1" s="1"/>
  <c r="AA607" i="1"/>
  <c r="AA608" i="1" s="1"/>
  <c r="Z607" i="1"/>
  <c r="Z608" i="1" s="1"/>
  <c r="Y607" i="1"/>
  <c r="Y608" i="1" s="1"/>
  <c r="X607" i="1"/>
  <c r="W607" i="1"/>
  <c r="W608" i="1" s="1"/>
  <c r="V607" i="1"/>
  <c r="V608" i="1" s="1"/>
  <c r="U607" i="1"/>
  <c r="U608" i="1" s="1"/>
  <c r="T607" i="1"/>
  <c r="T608" i="1" s="1"/>
  <c r="S607" i="1"/>
  <c r="S608" i="1" s="1"/>
  <c r="R607" i="1"/>
  <c r="R608" i="1" s="1"/>
  <c r="Q607" i="1"/>
  <c r="Q608" i="1" s="1"/>
  <c r="P607" i="1"/>
  <c r="AP606" i="1"/>
  <c r="AC606" i="1"/>
  <c r="P606" i="1"/>
  <c r="P608" i="1" s="1"/>
  <c r="AP605" i="1"/>
  <c r="AC605" i="1"/>
  <c r="P605" i="1"/>
  <c r="AO602" i="1"/>
  <c r="AN602" i="1"/>
  <c r="AM602" i="1"/>
  <c r="AL602" i="1"/>
  <c r="AK602" i="1"/>
  <c r="AJ602" i="1"/>
  <c r="AI602" i="1"/>
  <c r="AH602" i="1"/>
  <c r="AG602" i="1"/>
  <c r="AF602" i="1"/>
  <c r="AE602" i="1"/>
  <c r="AD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AP601" i="1"/>
  <c r="AC601" i="1"/>
  <c r="P601" i="1"/>
  <c r="AP600" i="1"/>
  <c r="AC600" i="1"/>
  <c r="P600" i="1"/>
  <c r="AP599" i="1"/>
  <c r="AC599" i="1"/>
  <c r="AC602" i="1" s="1"/>
  <c r="P599" i="1"/>
  <c r="V596" i="1"/>
  <c r="N596" i="1"/>
  <c r="M596" i="1"/>
  <c r="L596" i="1"/>
  <c r="K596" i="1"/>
  <c r="J596" i="1"/>
  <c r="I596" i="1"/>
  <c r="H596" i="1"/>
  <c r="G596" i="1"/>
  <c r="F596" i="1"/>
  <c r="E596" i="1"/>
  <c r="D596" i="1"/>
  <c r="AO595" i="1"/>
  <c r="AO596" i="1" s="1"/>
  <c r="AN595" i="1"/>
  <c r="AN596" i="1" s="1"/>
  <c r="AM595" i="1"/>
  <c r="AM596" i="1" s="1"/>
  <c r="AL595" i="1"/>
  <c r="AL596" i="1" s="1"/>
  <c r="AK595" i="1"/>
  <c r="AK596" i="1" s="1"/>
  <c r="AJ595" i="1"/>
  <c r="AJ596" i="1" s="1"/>
  <c r="AI595" i="1"/>
  <c r="AI596" i="1" s="1"/>
  <c r="AH595" i="1"/>
  <c r="AH596" i="1" s="1"/>
  <c r="AG595" i="1"/>
  <c r="AG596" i="1" s="1"/>
  <c r="AF595" i="1"/>
  <c r="AE595" i="1"/>
  <c r="AE596" i="1" s="1"/>
  <c r="AD595" i="1"/>
  <c r="AD596" i="1" s="1"/>
  <c r="AB595" i="1"/>
  <c r="AB596" i="1" s="1"/>
  <c r="AA595" i="1"/>
  <c r="AA596" i="1" s="1"/>
  <c r="Z595" i="1"/>
  <c r="Z596" i="1" s="1"/>
  <c r="Y595" i="1"/>
  <c r="Y596" i="1" s="1"/>
  <c r="X595" i="1"/>
  <c r="X596" i="1" s="1"/>
  <c r="W595" i="1"/>
  <c r="W596" i="1" s="1"/>
  <c r="V595" i="1"/>
  <c r="U595" i="1"/>
  <c r="U596" i="1" s="1"/>
  <c r="T595" i="1"/>
  <c r="T596" i="1" s="1"/>
  <c r="S595" i="1"/>
  <c r="S596" i="1" s="1"/>
  <c r="R595" i="1"/>
  <c r="R596" i="1" s="1"/>
  <c r="Q595" i="1"/>
  <c r="Q596" i="1" s="1"/>
  <c r="P595" i="1"/>
  <c r="O595" i="1"/>
  <c r="O596" i="1" s="1"/>
  <c r="AP594" i="1"/>
  <c r="AC594" i="1"/>
  <c r="P594" i="1"/>
  <c r="AP593" i="1"/>
  <c r="AC593" i="1"/>
  <c r="P593" i="1"/>
  <c r="AO590" i="1"/>
  <c r="AN590" i="1"/>
  <c r="AM590" i="1"/>
  <c r="AL590" i="1"/>
  <c r="AK590" i="1"/>
  <c r="AJ590" i="1"/>
  <c r="AI590" i="1"/>
  <c r="AH590" i="1"/>
  <c r="AG590" i="1"/>
  <c r="AF590" i="1"/>
  <c r="AE590" i="1"/>
  <c r="AD590" i="1"/>
  <c r="AB590" i="1"/>
  <c r="AA590" i="1"/>
  <c r="Z590" i="1"/>
  <c r="Y590" i="1"/>
  <c r="X590" i="1"/>
  <c r="W590" i="1"/>
  <c r="V590" i="1"/>
  <c r="U590" i="1"/>
  <c r="T590" i="1"/>
  <c r="S590" i="1"/>
  <c r="R590" i="1"/>
  <c r="Q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AP589" i="1"/>
  <c r="AC589" i="1"/>
  <c r="P589" i="1"/>
  <c r="AP588" i="1"/>
  <c r="AC588" i="1"/>
  <c r="P588" i="1"/>
  <c r="AP587" i="1"/>
  <c r="AC587" i="1"/>
  <c r="AC590" i="1" s="1"/>
  <c r="H587" i="1"/>
  <c r="H995" i="1" s="1"/>
  <c r="AE584" i="1"/>
  <c r="AA584" i="1"/>
  <c r="Z584" i="1"/>
  <c r="Y584" i="1"/>
  <c r="X584" i="1"/>
  <c r="W584" i="1"/>
  <c r="V584" i="1"/>
  <c r="U584" i="1"/>
  <c r="T584" i="1"/>
  <c r="S584" i="1"/>
  <c r="R584" i="1"/>
  <c r="Q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AO583" i="1"/>
  <c r="AO584" i="1" s="1"/>
  <c r="AN583" i="1"/>
  <c r="AN584" i="1" s="1"/>
  <c r="AM583" i="1"/>
  <c r="AM584" i="1" s="1"/>
  <c r="AL583" i="1"/>
  <c r="AL584" i="1" s="1"/>
  <c r="AK583" i="1"/>
  <c r="AK584" i="1" s="1"/>
  <c r="AJ583" i="1"/>
  <c r="AJ584" i="1" s="1"/>
  <c r="AI583" i="1"/>
  <c r="AI584" i="1" s="1"/>
  <c r="AH583" i="1"/>
  <c r="AH584" i="1" s="1"/>
  <c r="AG583" i="1"/>
  <c r="AG584" i="1" s="1"/>
  <c r="AF583" i="1"/>
  <c r="AF584" i="1" s="1"/>
  <c r="AE583" i="1"/>
  <c r="AD583" i="1"/>
  <c r="AB583" i="1"/>
  <c r="P583" i="1"/>
  <c r="AP582" i="1"/>
  <c r="AC582" i="1"/>
  <c r="P582" i="1"/>
  <c r="AP581" i="1"/>
  <c r="AC581" i="1"/>
  <c r="P581" i="1"/>
  <c r="AO578" i="1"/>
  <c r="Y578" i="1"/>
  <c r="E578" i="1"/>
  <c r="D578" i="1"/>
  <c r="AO577" i="1"/>
  <c r="AN577" i="1"/>
  <c r="AN578" i="1" s="1"/>
  <c r="AM577" i="1"/>
  <c r="AM578" i="1" s="1"/>
  <c r="AL577" i="1"/>
  <c r="AL578" i="1" s="1"/>
  <c r="AK577" i="1"/>
  <c r="AK578" i="1" s="1"/>
  <c r="AJ577" i="1"/>
  <c r="AJ578" i="1" s="1"/>
  <c r="AI577" i="1"/>
  <c r="AI578" i="1" s="1"/>
  <c r="AH577" i="1"/>
  <c r="AH578" i="1" s="1"/>
  <c r="AG577" i="1"/>
  <c r="AG578" i="1" s="1"/>
  <c r="AF577" i="1"/>
  <c r="AF578" i="1" s="1"/>
  <c r="AE577" i="1"/>
  <c r="AE578" i="1" s="1"/>
  <c r="AD577" i="1"/>
  <c r="AB577" i="1"/>
  <c r="AB578" i="1" s="1"/>
  <c r="AA577" i="1"/>
  <c r="AA578" i="1" s="1"/>
  <c r="Z577" i="1"/>
  <c r="Z578" i="1" s="1"/>
  <c r="Y577" i="1"/>
  <c r="X577" i="1"/>
  <c r="X578" i="1" s="1"/>
  <c r="W577" i="1"/>
  <c r="W578" i="1" s="1"/>
  <c r="V577" i="1"/>
  <c r="V578" i="1" s="1"/>
  <c r="U577" i="1"/>
  <c r="U578" i="1" s="1"/>
  <c r="T577" i="1"/>
  <c r="T578" i="1" s="1"/>
  <c r="S577" i="1"/>
  <c r="S578" i="1" s="1"/>
  <c r="R577" i="1"/>
  <c r="R578" i="1" s="1"/>
  <c r="Q577" i="1"/>
  <c r="Q578" i="1" s="1"/>
  <c r="O577" i="1"/>
  <c r="O578" i="1" s="1"/>
  <c r="N577" i="1"/>
  <c r="N578" i="1" s="1"/>
  <c r="M577" i="1"/>
  <c r="M578" i="1" s="1"/>
  <c r="L577" i="1"/>
  <c r="L578" i="1" s="1"/>
  <c r="K577" i="1"/>
  <c r="K578" i="1" s="1"/>
  <c r="J577" i="1"/>
  <c r="J578" i="1" s="1"/>
  <c r="I577" i="1"/>
  <c r="I578" i="1" s="1"/>
  <c r="H577" i="1"/>
  <c r="H578" i="1" s="1"/>
  <c r="G577" i="1"/>
  <c r="G578" i="1" s="1"/>
  <c r="F577" i="1"/>
  <c r="F578" i="1" s="1"/>
  <c r="AP576" i="1"/>
  <c r="AC576" i="1"/>
  <c r="P576" i="1"/>
  <c r="AP575" i="1"/>
  <c r="AC575" i="1"/>
  <c r="P575" i="1"/>
  <c r="AE572" i="1"/>
  <c r="AO571" i="1"/>
  <c r="AO572" i="1" s="1"/>
  <c r="AN571" i="1"/>
  <c r="AN572" i="1" s="1"/>
  <c r="AM571" i="1"/>
  <c r="AM572" i="1" s="1"/>
  <c r="AL571" i="1"/>
  <c r="AL572" i="1" s="1"/>
  <c r="AK571" i="1"/>
  <c r="AK572" i="1" s="1"/>
  <c r="AJ571" i="1"/>
  <c r="AJ572" i="1" s="1"/>
  <c r="AI571" i="1"/>
  <c r="AI572" i="1" s="1"/>
  <c r="AH571" i="1"/>
  <c r="AH572" i="1" s="1"/>
  <c r="AG571" i="1"/>
  <c r="AG572" i="1" s="1"/>
  <c r="AF571" i="1"/>
  <c r="AE571" i="1"/>
  <c r="AD571" i="1"/>
  <c r="AD572" i="1" s="1"/>
  <c r="AB571" i="1"/>
  <c r="AB572" i="1" s="1"/>
  <c r="AA571" i="1"/>
  <c r="AA572" i="1" s="1"/>
  <c r="Z571" i="1"/>
  <c r="Z572" i="1" s="1"/>
  <c r="Y571" i="1"/>
  <c r="Y572" i="1" s="1"/>
  <c r="X571" i="1"/>
  <c r="X572" i="1" s="1"/>
  <c r="W571" i="1"/>
  <c r="W572" i="1" s="1"/>
  <c r="V571" i="1"/>
  <c r="V572" i="1" s="1"/>
  <c r="U571" i="1"/>
  <c r="U572" i="1" s="1"/>
  <c r="T571" i="1"/>
  <c r="T572" i="1" s="1"/>
  <c r="S571" i="1"/>
  <c r="S572" i="1" s="1"/>
  <c r="R571" i="1"/>
  <c r="R572" i="1" s="1"/>
  <c r="Q571" i="1"/>
  <c r="O571" i="1"/>
  <c r="O572" i="1" s="1"/>
  <c r="N571" i="1"/>
  <c r="N572" i="1" s="1"/>
  <c r="M571" i="1"/>
  <c r="M572" i="1" s="1"/>
  <c r="L571" i="1"/>
  <c r="L572" i="1" s="1"/>
  <c r="K571" i="1"/>
  <c r="K572" i="1" s="1"/>
  <c r="J571" i="1"/>
  <c r="J572" i="1" s="1"/>
  <c r="I571" i="1"/>
  <c r="I572" i="1" s="1"/>
  <c r="H571" i="1"/>
  <c r="H572" i="1" s="1"/>
  <c r="G571" i="1"/>
  <c r="G572" i="1" s="1"/>
  <c r="F571" i="1"/>
  <c r="F572" i="1" s="1"/>
  <c r="E571" i="1"/>
  <c r="E572" i="1" s="1"/>
  <c r="D571" i="1"/>
  <c r="D572" i="1" s="1"/>
  <c r="AP570" i="1"/>
  <c r="AC570" i="1"/>
  <c r="P570" i="1"/>
  <c r="AP569" i="1"/>
  <c r="AC569" i="1"/>
  <c r="P569" i="1"/>
  <c r="AN566" i="1"/>
  <c r="V566" i="1"/>
  <c r="N566" i="1"/>
  <c r="M566" i="1"/>
  <c r="L566" i="1"/>
  <c r="K566" i="1"/>
  <c r="J566" i="1"/>
  <c r="I566" i="1"/>
  <c r="H566" i="1"/>
  <c r="G566" i="1"/>
  <c r="F566" i="1"/>
  <c r="E566" i="1"/>
  <c r="D566" i="1"/>
  <c r="AO565" i="1"/>
  <c r="AO566" i="1" s="1"/>
  <c r="AN565" i="1"/>
  <c r="AM565" i="1"/>
  <c r="AM566" i="1" s="1"/>
  <c r="AL565" i="1"/>
  <c r="AL566" i="1" s="1"/>
  <c r="AK565" i="1"/>
  <c r="AK566" i="1" s="1"/>
  <c r="AJ565" i="1"/>
  <c r="AJ566" i="1" s="1"/>
  <c r="AI565" i="1"/>
  <c r="AI566" i="1" s="1"/>
  <c r="AH565" i="1"/>
  <c r="AH566" i="1" s="1"/>
  <c r="AG565" i="1"/>
  <c r="AG566" i="1" s="1"/>
  <c r="AF565" i="1"/>
  <c r="AF566" i="1" s="1"/>
  <c r="AE565" i="1"/>
  <c r="AE566" i="1" s="1"/>
  <c r="AD565" i="1"/>
  <c r="AB565" i="1"/>
  <c r="AB566" i="1" s="1"/>
  <c r="AA565" i="1"/>
  <c r="AA566" i="1" s="1"/>
  <c r="Z565" i="1"/>
  <c r="Z566" i="1" s="1"/>
  <c r="Y565" i="1"/>
  <c r="Y566" i="1" s="1"/>
  <c r="X565" i="1"/>
  <c r="X566" i="1" s="1"/>
  <c r="W565" i="1"/>
  <c r="W566" i="1" s="1"/>
  <c r="V565" i="1"/>
  <c r="U565" i="1"/>
  <c r="U566" i="1" s="1"/>
  <c r="T565" i="1"/>
  <c r="T566" i="1" s="1"/>
  <c r="S565" i="1"/>
  <c r="S566" i="1" s="1"/>
  <c r="R565" i="1"/>
  <c r="R566" i="1" s="1"/>
  <c r="Q565" i="1"/>
  <c r="Q566" i="1" s="1"/>
  <c r="O565" i="1"/>
  <c r="O566" i="1" s="1"/>
  <c r="AP564" i="1"/>
  <c r="AC564" i="1"/>
  <c r="P564" i="1"/>
  <c r="AP563" i="1"/>
  <c r="AC563" i="1"/>
  <c r="P563" i="1"/>
  <c r="AF560" i="1"/>
  <c r="AA560" i="1"/>
  <c r="Z560" i="1"/>
  <c r="Y560" i="1"/>
  <c r="X560" i="1"/>
  <c r="W560" i="1"/>
  <c r="V560" i="1"/>
  <c r="U560" i="1"/>
  <c r="T560" i="1"/>
  <c r="S560" i="1"/>
  <c r="R560" i="1"/>
  <c r="Q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AO559" i="1"/>
  <c r="AO560" i="1" s="1"/>
  <c r="AN559" i="1"/>
  <c r="AN560" i="1" s="1"/>
  <c r="AM559" i="1"/>
  <c r="AM560" i="1" s="1"/>
  <c r="AL559" i="1"/>
  <c r="AL560" i="1" s="1"/>
  <c r="AK559" i="1"/>
  <c r="AK560" i="1" s="1"/>
  <c r="AJ559" i="1"/>
  <c r="AJ560" i="1" s="1"/>
  <c r="AI559" i="1"/>
  <c r="AI560" i="1" s="1"/>
  <c r="AH559" i="1"/>
  <c r="AH560" i="1" s="1"/>
  <c r="AG559" i="1"/>
  <c r="AG560" i="1" s="1"/>
  <c r="AF559" i="1"/>
  <c r="AE559" i="1"/>
  <c r="AE560" i="1" s="1"/>
  <c r="AD559" i="1"/>
  <c r="AD560" i="1" s="1"/>
  <c r="AB559" i="1"/>
  <c r="P559" i="1"/>
  <c r="AP558" i="1"/>
  <c r="AC558" i="1"/>
  <c r="P558" i="1"/>
  <c r="AP557" i="1"/>
  <c r="AC557" i="1"/>
  <c r="P557" i="1"/>
  <c r="Y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AO553" i="1"/>
  <c r="AO554" i="1" s="1"/>
  <c r="AN553" i="1"/>
  <c r="AN554" i="1" s="1"/>
  <c r="AM553" i="1"/>
  <c r="AM554" i="1" s="1"/>
  <c r="AL553" i="1"/>
  <c r="AL554" i="1" s="1"/>
  <c r="AK553" i="1"/>
  <c r="AK554" i="1" s="1"/>
  <c r="AJ553" i="1"/>
  <c r="AJ554" i="1" s="1"/>
  <c r="AI553" i="1"/>
  <c r="AI554" i="1" s="1"/>
  <c r="AH553" i="1"/>
  <c r="AH554" i="1" s="1"/>
  <c r="AG553" i="1"/>
  <c r="AG554" i="1" s="1"/>
  <c r="AF553" i="1"/>
  <c r="AF554" i="1" s="1"/>
  <c r="AE553" i="1"/>
  <c r="AE554" i="1" s="1"/>
  <c r="AD553" i="1"/>
  <c r="AD554" i="1" s="1"/>
  <c r="AB553" i="1"/>
  <c r="AB554" i="1" s="1"/>
  <c r="AA553" i="1"/>
  <c r="AA554" i="1" s="1"/>
  <c r="Z553" i="1"/>
  <c r="Z554" i="1" s="1"/>
  <c r="Y553" i="1"/>
  <c r="X553" i="1"/>
  <c r="X554" i="1" s="1"/>
  <c r="W553" i="1"/>
  <c r="W554" i="1" s="1"/>
  <c r="V553" i="1"/>
  <c r="V554" i="1" s="1"/>
  <c r="U553" i="1"/>
  <c r="U554" i="1" s="1"/>
  <c r="T553" i="1"/>
  <c r="T554" i="1" s="1"/>
  <c r="S553" i="1"/>
  <c r="R553" i="1"/>
  <c r="R554" i="1" s="1"/>
  <c r="Q553" i="1"/>
  <c r="Q554" i="1" s="1"/>
  <c r="P553" i="1"/>
  <c r="AP552" i="1"/>
  <c r="AC552" i="1"/>
  <c r="P552" i="1"/>
  <c r="P554" i="1" s="1"/>
  <c r="AP551" i="1"/>
  <c r="AC551" i="1"/>
  <c r="P551" i="1"/>
  <c r="AF548" i="1"/>
  <c r="Z548" i="1"/>
  <c r="J548" i="1"/>
  <c r="AO547" i="1"/>
  <c r="AO548" i="1" s="1"/>
  <c r="AN547" i="1"/>
  <c r="AN548" i="1" s="1"/>
  <c r="AM547" i="1"/>
  <c r="AM548" i="1" s="1"/>
  <c r="AL547" i="1"/>
  <c r="AL548" i="1" s="1"/>
  <c r="AK547" i="1"/>
  <c r="AK548" i="1" s="1"/>
  <c r="AJ547" i="1"/>
  <c r="AJ548" i="1" s="1"/>
  <c r="AI547" i="1"/>
  <c r="AI548" i="1" s="1"/>
  <c r="AH547" i="1"/>
  <c r="AH548" i="1" s="1"/>
  <c r="AG547" i="1"/>
  <c r="AG548" i="1" s="1"/>
  <c r="AF547" i="1"/>
  <c r="AE547" i="1"/>
  <c r="AE548" i="1" s="1"/>
  <c r="AD547" i="1"/>
  <c r="AB547" i="1"/>
  <c r="AB548" i="1" s="1"/>
  <c r="AA547" i="1"/>
  <c r="AA548" i="1" s="1"/>
  <c r="Z547" i="1"/>
  <c r="Y547" i="1"/>
  <c r="Y548" i="1" s="1"/>
  <c r="X547" i="1"/>
  <c r="X548" i="1" s="1"/>
  <c r="W547" i="1"/>
  <c r="W548" i="1" s="1"/>
  <c r="V547" i="1"/>
  <c r="V548" i="1" s="1"/>
  <c r="U547" i="1"/>
  <c r="U548" i="1" s="1"/>
  <c r="T547" i="1"/>
  <c r="T548" i="1" s="1"/>
  <c r="S547" i="1"/>
  <c r="S548" i="1" s="1"/>
  <c r="R547" i="1"/>
  <c r="R548" i="1" s="1"/>
  <c r="Q547" i="1"/>
  <c r="O547" i="1"/>
  <c r="O548" i="1" s="1"/>
  <c r="N547" i="1"/>
  <c r="N548" i="1" s="1"/>
  <c r="M547" i="1"/>
  <c r="M548" i="1" s="1"/>
  <c r="L547" i="1"/>
  <c r="L548" i="1" s="1"/>
  <c r="K547" i="1"/>
  <c r="K548" i="1" s="1"/>
  <c r="J547" i="1"/>
  <c r="I547" i="1"/>
  <c r="I548" i="1" s="1"/>
  <c r="H547" i="1"/>
  <c r="H548" i="1" s="1"/>
  <c r="G547" i="1"/>
  <c r="G548" i="1" s="1"/>
  <c r="F547" i="1"/>
  <c r="F548" i="1" s="1"/>
  <c r="E547" i="1"/>
  <c r="E548" i="1" s="1"/>
  <c r="D547" i="1"/>
  <c r="D548" i="1" s="1"/>
  <c r="AP546" i="1"/>
  <c r="AC546" i="1"/>
  <c r="P546" i="1"/>
  <c r="AP545" i="1"/>
  <c r="AC545" i="1"/>
  <c r="P545" i="1"/>
  <c r="AJ542" i="1"/>
  <c r="T542" i="1"/>
  <c r="AO541" i="1"/>
  <c r="AO542" i="1" s="1"/>
  <c r="AN541" i="1"/>
  <c r="AN542" i="1" s="1"/>
  <c r="AM541" i="1"/>
  <c r="AM542" i="1" s="1"/>
  <c r="AL541" i="1"/>
  <c r="AL542" i="1" s="1"/>
  <c r="AK541" i="1"/>
  <c r="AK542" i="1" s="1"/>
  <c r="AJ541" i="1"/>
  <c r="AI541" i="1"/>
  <c r="AI542" i="1" s="1"/>
  <c r="AH541" i="1"/>
  <c r="AH542" i="1" s="1"/>
  <c r="AG541" i="1"/>
  <c r="AG542" i="1" s="1"/>
  <c r="AF541" i="1"/>
  <c r="AF542" i="1" s="1"/>
  <c r="AE541" i="1"/>
  <c r="AE542" i="1" s="1"/>
  <c r="AD541" i="1"/>
  <c r="AD542" i="1" s="1"/>
  <c r="AB541" i="1"/>
  <c r="AB542" i="1" s="1"/>
  <c r="AA541" i="1"/>
  <c r="AA542" i="1" s="1"/>
  <c r="Z541" i="1"/>
  <c r="Z542" i="1" s="1"/>
  <c r="Y541" i="1"/>
  <c r="Y542" i="1" s="1"/>
  <c r="X541" i="1"/>
  <c r="X542" i="1" s="1"/>
  <c r="W541" i="1"/>
  <c r="W542" i="1" s="1"/>
  <c r="V541" i="1"/>
  <c r="V542" i="1" s="1"/>
  <c r="U541" i="1"/>
  <c r="U542" i="1" s="1"/>
  <c r="T541" i="1"/>
  <c r="S541" i="1"/>
  <c r="S542" i="1" s="1"/>
  <c r="R541" i="1"/>
  <c r="R542" i="1" s="1"/>
  <c r="Q541" i="1"/>
  <c r="Q542" i="1" s="1"/>
  <c r="O541" i="1"/>
  <c r="O542" i="1" s="1"/>
  <c r="N541" i="1"/>
  <c r="N542" i="1" s="1"/>
  <c r="M541" i="1"/>
  <c r="M542" i="1" s="1"/>
  <c r="L541" i="1"/>
  <c r="L542" i="1" s="1"/>
  <c r="K541" i="1"/>
  <c r="K542" i="1" s="1"/>
  <c r="J541" i="1"/>
  <c r="J542" i="1" s="1"/>
  <c r="I541" i="1"/>
  <c r="I542" i="1" s="1"/>
  <c r="H541" i="1"/>
  <c r="H542" i="1" s="1"/>
  <c r="G541" i="1"/>
  <c r="G542" i="1" s="1"/>
  <c r="F541" i="1"/>
  <c r="F542" i="1" s="1"/>
  <c r="E541" i="1"/>
  <c r="E542" i="1" s="1"/>
  <c r="D541" i="1"/>
  <c r="D542" i="1" s="1"/>
  <c r="AP540" i="1"/>
  <c r="AC540" i="1"/>
  <c r="P540" i="1"/>
  <c r="AP539" i="1"/>
  <c r="AC539" i="1"/>
  <c r="P539" i="1"/>
  <c r="O536" i="1"/>
  <c r="N536" i="1"/>
  <c r="M536" i="1"/>
  <c r="L536" i="1"/>
  <c r="K536" i="1"/>
  <c r="J535" i="1"/>
  <c r="J536" i="1" s="1"/>
  <c r="I535" i="1"/>
  <c r="I536" i="1" s="1"/>
  <c r="H535" i="1"/>
  <c r="H536" i="1" s="1"/>
  <c r="G535" i="1"/>
  <c r="G536" i="1" s="1"/>
  <c r="F535" i="1"/>
  <c r="F536" i="1" s="1"/>
  <c r="E535" i="1"/>
  <c r="E536" i="1" s="1"/>
  <c r="D535" i="1"/>
  <c r="D536" i="1" s="1"/>
  <c r="P534" i="1"/>
  <c r="P533" i="1"/>
  <c r="AO530" i="1"/>
  <c r="AN530" i="1"/>
  <c r="AM530" i="1"/>
  <c r="AL530" i="1"/>
  <c r="AK530" i="1"/>
  <c r="AJ530" i="1"/>
  <c r="AI530" i="1"/>
  <c r="AH530" i="1"/>
  <c r="AG530" i="1"/>
  <c r="AF530" i="1"/>
  <c r="AE530" i="1"/>
  <c r="AD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AP529" i="1"/>
  <c r="AC529" i="1"/>
  <c r="P529" i="1"/>
  <c r="AP528" i="1"/>
  <c r="AC528" i="1"/>
  <c r="P528" i="1"/>
  <c r="AP527" i="1"/>
  <c r="AC527" i="1"/>
  <c r="P527" i="1"/>
  <c r="AM524" i="1"/>
  <c r="K524" i="1"/>
  <c r="J524" i="1"/>
  <c r="I524" i="1"/>
  <c r="H524" i="1"/>
  <c r="G524" i="1"/>
  <c r="F524" i="1"/>
  <c r="E524" i="1"/>
  <c r="D524" i="1"/>
  <c r="AO523" i="1"/>
  <c r="AO524" i="1" s="1"/>
  <c r="AN523" i="1"/>
  <c r="AN524" i="1" s="1"/>
  <c r="AM523" i="1"/>
  <c r="AL523" i="1"/>
  <c r="AL524" i="1" s="1"/>
  <c r="AK523" i="1"/>
  <c r="AK524" i="1" s="1"/>
  <c r="AJ523" i="1"/>
  <c r="AJ524" i="1" s="1"/>
  <c r="AI523" i="1"/>
  <c r="AI524" i="1" s="1"/>
  <c r="AH523" i="1"/>
  <c r="AH524" i="1" s="1"/>
  <c r="AG523" i="1"/>
  <c r="AG524" i="1" s="1"/>
  <c r="AF523" i="1"/>
  <c r="AF524" i="1" s="1"/>
  <c r="AE523" i="1"/>
  <c r="AE524" i="1" s="1"/>
  <c r="AD523" i="1"/>
  <c r="AD524" i="1" s="1"/>
  <c r="AB523" i="1"/>
  <c r="AB524" i="1" s="1"/>
  <c r="AA523" i="1"/>
  <c r="AA524" i="1" s="1"/>
  <c r="Z523" i="1"/>
  <c r="Z524" i="1" s="1"/>
  <c r="Y523" i="1"/>
  <c r="Y524" i="1" s="1"/>
  <c r="X523" i="1"/>
  <c r="X524" i="1" s="1"/>
  <c r="W523" i="1"/>
  <c r="W524" i="1" s="1"/>
  <c r="V523" i="1"/>
  <c r="V524" i="1" s="1"/>
  <c r="U523" i="1"/>
  <c r="U524" i="1" s="1"/>
  <c r="T523" i="1"/>
  <c r="T524" i="1" s="1"/>
  <c r="S523" i="1"/>
  <c r="S524" i="1" s="1"/>
  <c r="R523" i="1"/>
  <c r="R524" i="1" s="1"/>
  <c r="Q523" i="1"/>
  <c r="Q524" i="1" s="1"/>
  <c r="O523" i="1"/>
  <c r="O524" i="1" s="1"/>
  <c r="N523" i="1"/>
  <c r="N524" i="1" s="1"/>
  <c r="M523" i="1"/>
  <c r="M524" i="1" s="1"/>
  <c r="L523" i="1"/>
  <c r="L524" i="1" s="1"/>
  <c r="AP522" i="1"/>
  <c r="AC522" i="1"/>
  <c r="P522" i="1"/>
  <c r="AP521" i="1"/>
  <c r="AC521" i="1"/>
  <c r="P521" i="1"/>
  <c r="AO518" i="1"/>
  <c r="AN518" i="1"/>
  <c r="AM518" i="1"/>
  <c r="AL518" i="1"/>
  <c r="AK518" i="1"/>
  <c r="AJ518" i="1"/>
  <c r="AI518" i="1"/>
  <c r="AH518" i="1"/>
  <c r="AG518" i="1"/>
  <c r="AF518" i="1"/>
  <c r="AE518" i="1"/>
  <c r="AD518" i="1"/>
  <c r="AB518" i="1"/>
  <c r="AA518" i="1"/>
  <c r="Z518" i="1"/>
  <c r="Y518" i="1"/>
  <c r="X518" i="1"/>
  <c r="W518" i="1"/>
  <c r="V518" i="1"/>
  <c r="U518" i="1"/>
  <c r="T518" i="1"/>
  <c r="S518" i="1"/>
  <c r="R518" i="1"/>
  <c r="Q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AP517" i="1"/>
  <c r="AC517" i="1"/>
  <c r="P517" i="1"/>
  <c r="AP516" i="1"/>
  <c r="AC516" i="1"/>
  <c r="P516" i="1"/>
  <c r="AP515" i="1"/>
  <c r="AC515" i="1"/>
  <c r="P515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AP511" i="1"/>
  <c r="AC511" i="1"/>
  <c r="P511" i="1"/>
  <c r="AP510" i="1"/>
  <c r="AC510" i="1"/>
  <c r="P510" i="1"/>
  <c r="AP509" i="1"/>
  <c r="AC509" i="1"/>
  <c r="AC512" i="1" s="1"/>
  <c r="P509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P505" i="1"/>
  <c r="P504" i="1"/>
  <c r="P503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AC499" i="1"/>
  <c r="P499" i="1"/>
  <c r="AC498" i="1"/>
  <c r="P498" i="1"/>
  <c r="AC497" i="1"/>
  <c r="P497" i="1"/>
  <c r="P500" i="1" s="1"/>
  <c r="Q494" i="1"/>
  <c r="N494" i="1"/>
  <c r="AO493" i="1"/>
  <c r="AO494" i="1" s="1"/>
  <c r="AN493" i="1"/>
  <c r="AN494" i="1" s="1"/>
  <c r="AM493" i="1"/>
  <c r="AM494" i="1" s="1"/>
  <c r="AL493" i="1"/>
  <c r="AL494" i="1" s="1"/>
  <c r="AK493" i="1"/>
  <c r="AK494" i="1" s="1"/>
  <c r="AJ493" i="1"/>
  <c r="AJ494" i="1" s="1"/>
  <c r="AI493" i="1"/>
  <c r="AI494" i="1" s="1"/>
  <c r="AH493" i="1"/>
  <c r="AH494" i="1" s="1"/>
  <c r="AG493" i="1"/>
  <c r="AG494" i="1" s="1"/>
  <c r="AF493" i="1"/>
  <c r="AF494" i="1" s="1"/>
  <c r="AE493" i="1"/>
  <c r="AE494" i="1" s="1"/>
  <c r="AD493" i="1"/>
  <c r="AD494" i="1" s="1"/>
  <c r="AB493" i="1"/>
  <c r="AB494" i="1" s="1"/>
  <c r="AA493" i="1"/>
  <c r="AA494" i="1" s="1"/>
  <c r="Z493" i="1"/>
  <c r="Z494" i="1" s="1"/>
  <c r="Y493" i="1"/>
  <c r="Y494" i="1" s="1"/>
  <c r="X493" i="1"/>
  <c r="X494" i="1" s="1"/>
  <c r="W493" i="1"/>
  <c r="W494" i="1" s="1"/>
  <c r="V493" i="1"/>
  <c r="V494" i="1" s="1"/>
  <c r="U493" i="1"/>
  <c r="U494" i="1" s="1"/>
  <c r="T493" i="1"/>
  <c r="T494" i="1" s="1"/>
  <c r="S493" i="1"/>
  <c r="S494" i="1" s="1"/>
  <c r="R493" i="1"/>
  <c r="Q493" i="1"/>
  <c r="O493" i="1"/>
  <c r="O494" i="1" s="1"/>
  <c r="N493" i="1"/>
  <c r="M493" i="1"/>
  <c r="M494" i="1" s="1"/>
  <c r="L493" i="1"/>
  <c r="L494" i="1" s="1"/>
  <c r="K493" i="1"/>
  <c r="K494" i="1" s="1"/>
  <c r="J493" i="1"/>
  <c r="J494" i="1" s="1"/>
  <c r="I493" i="1"/>
  <c r="I494" i="1" s="1"/>
  <c r="H493" i="1"/>
  <c r="H494" i="1" s="1"/>
  <c r="G493" i="1"/>
  <c r="G494" i="1" s="1"/>
  <c r="F493" i="1"/>
  <c r="F494" i="1" s="1"/>
  <c r="E493" i="1"/>
  <c r="E494" i="1" s="1"/>
  <c r="D493" i="1"/>
  <c r="D494" i="1" s="1"/>
  <c r="AP492" i="1"/>
  <c r="AC492" i="1"/>
  <c r="P492" i="1"/>
  <c r="AP491" i="1"/>
  <c r="AC491" i="1"/>
  <c r="P491" i="1"/>
  <c r="AO488" i="1"/>
  <c r="AN488" i="1"/>
  <c r="AM488" i="1"/>
  <c r="AL488" i="1"/>
  <c r="AK488" i="1"/>
  <c r="AJ488" i="1"/>
  <c r="AI488" i="1"/>
  <c r="AH488" i="1"/>
  <c r="AG488" i="1"/>
  <c r="AE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AF487" i="1"/>
  <c r="AF488" i="1" s="1"/>
  <c r="AE487" i="1"/>
  <c r="AD487" i="1"/>
  <c r="AB487" i="1"/>
  <c r="AB488" i="1" s="1"/>
  <c r="AA487" i="1"/>
  <c r="AA488" i="1" s="1"/>
  <c r="Z487" i="1"/>
  <c r="Z488" i="1" s="1"/>
  <c r="Y487" i="1"/>
  <c r="Y488" i="1" s="1"/>
  <c r="X487" i="1"/>
  <c r="X488" i="1" s="1"/>
  <c r="W487" i="1"/>
  <c r="W488" i="1" s="1"/>
  <c r="V487" i="1"/>
  <c r="V488" i="1" s="1"/>
  <c r="U487" i="1"/>
  <c r="U488" i="1" s="1"/>
  <c r="T487" i="1"/>
  <c r="T488" i="1" s="1"/>
  <c r="S487" i="1"/>
  <c r="S488" i="1" s="1"/>
  <c r="R487" i="1"/>
  <c r="R488" i="1" s="1"/>
  <c r="Q487" i="1"/>
  <c r="P487" i="1"/>
  <c r="AP486" i="1"/>
  <c r="AC486" i="1"/>
  <c r="P486" i="1"/>
  <c r="AP485" i="1"/>
  <c r="AC485" i="1"/>
  <c r="P485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AP481" i="1"/>
  <c r="AC481" i="1"/>
  <c r="P481" i="1"/>
  <c r="AP480" i="1"/>
  <c r="AC480" i="1"/>
  <c r="P480" i="1"/>
  <c r="AP479" i="1"/>
  <c r="AC479" i="1"/>
  <c r="P479" i="1"/>
  <c r="P482" i="1" s="1"/>
  <c r="O476" i="1"/>
  <c r="N476" i="1"/>
  <c r="M476" i="1"/>
  <c r="L476" i="1"/>
  <c r="K476" i="1"/>
  <c r="J476" i="1"/>
  <c r="I476" i="1"/>
  <c r="H476" i="1"/>
  <c r="G476" i="1"/>
  <c r="F476" i="1"/>
  <c r="E476" i="1"/>
  <c r="D476" i="1"/>
  <c r="P475" i="1"/>
  <c r="P474" i="1"/>
  <c r="P473" i="1"/>
  <c r="Z470" i="1"/>
  <c r="W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AO469" i="1"/>
  <c r="AO470" i="1" s="1"/>
  <c r="AN469" i="1"/>
  <c r="AN470" i="1" s="1"/>
  <c r="AM469" i="1"/>
  <c r="AM470" i="1" s="1"/>
  <c r="AL469" i="1"/>
  <c r="AL470" i="1" s="1"/>
  <c r="AK469" i="1"/>
  <c r="AK470" i="1" s="1"/>
  <c r="AJ469" i="1"/>
  <c r="AJ470" i="1" s="1"/>
  <c r="AI469" i="1"/>
  <c r="AI470" i="1" s="1"/>
  <c r="AH469" i="1"/>
  <c r="AH470" i="1" s="1"/>
  <c r="AG469" i="1"/>
  <c r="AG470" i="1" s="1"/>
  <c r="AF469" i="1"/>
  <c r="AF470" i="1" s="1"/>
  <c r="AE469" i="1"/>
  <c r="AE470" i="1" s="1"/>
  <c r="AD469" i="1"/>
  <c r="AB469" i="1"/>
  <c r="AB470" i="1" s="1"/>
  <c r="AA469" i="1"/>
  <c r="AA470" i="1" s="1"/>
  <c r="Z469" i="1"/>
  <c r="Y469" i="1"/>
  <c r="Y470" i="1" s="1"/>
  <c r="X469" i="1"/>
  <c r="X470" i="1" s="1"/>
  <c r="W469" i="1"/>
  <c r="V469" i="1"/>
  <c r="V470" i="1" s="1"/>
  <c r="U469" i="1"/>
  <c r="U470" i="1" s="1"/>
  <c r="T469" i="1"/>
  <c r="T470" i="1" s="1"/>
  <c r="S469" i="1"/>
  <c r="S470" i="1" s="1"/>
  <c r="R469" i="1"/>
  <c r="R470" i="1" s="1"/>
  <c r="Q469" i="1"/>
  <c r="P469" i="1"/>
  <c r="AP468" i="1"/>
  <c r="AC468" i="1"/>
  <c r="P468" i="1"/>
  <c r="AP467" i="1"/>
  <c r="AC467" i="1"/>
  <c r="P467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P463" i="1"/>
  <c r="P462" i="1"/>
  <c r="P461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AP457" i="1"/>
  <c r="AC457" i="1"/>
  <c r="P457" i="1"/>
  <c r="AP456" i="1"/>
  <c r="AC456" i="1"/>
  <c r="P456" i="1"/>
  <c r="AP455" i="1"/>
  <c r="AC455" i="1"/>
  <c r="P455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AP451" i="1"/>
  <c r="AC451" i="1"/>
  <c r="P451" i="1"/>
  <c r="AP450" i="1"/>
  <c r="AC450" i="1"/>
  <c r="P450" i="1"/>
  <c r="AP449" i="1"/>
  <c r="AC449" i="1"/>
  <c r="AC452" i="1" s="1"/>
  <c r="P449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AP445" i="1"/>
  <c r="AC445" i="1"/>
  <c r="P445" i="1"/>
  <c r="AP444" i="1"/>
  <c r="AC444" i="1"/>
  <c r="P444" i="1"/>
  <c r="AP443" i="1"/>
  <c r="AC443" i="1"/>
  <c r="AC446" i="1" s="1"/>
  <c r="P443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AP439" i="1"/>
  <c r="AC439" i="1"/>
  <c r="P439" i="1"/>
  <c r="AP438" i="1"/>
  <c r="AC438" i="1"/>
  <c r="P438" i="1"/>
  <c r="AP437" i="1"/>
  <c r="AC437" i="1"/>
  <c r="P437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AP433" i="1"/>
  <c r="AC433" i="1"/>
  <c r="P433" i="1"/>
  <c r="AP432" i="1"/>
  <c r="AC432" i="1"/>
  <c r="P432" i="1"/>
  <c r="AP431" i="1"/>
  <c r="AP434" i="1" s="1"/>
  <c r="AC431" i="1"/>
  <c r="P431" i="1"/>
  <c r="N428" i="1"/>
  <c r="M428" i="1"/>
  <c r="L428" i="1"/>
  <c r="K428" i="1"/>
  <c r="J428" i="1"/>
  <c r="I428" i="1"/>
  <c r="H428" i="1"/>
  <c r="G428" i="1"/>
  <c r="F428" i="1"/>
  <c r="E428" i="1"/>
  <c r="D428" i="1"/>
  <c r="AO427" i="1"/>
  <c r="AO428" i="1" s="1"/>
  <c r="AN427" i="1"/>
  <c r="AN428" i="1" s="1"/>
  <c r="AM427" i="1"/>
  <c r="AM428" i="1" s="1"/>
  <c r="AL427" i="1"/>
  <c r="AL428" i="1" s="1"/>
  <c r="AK427" i="1"/>
  <c r="AK428" i="1" s="1"/>
  <c r="AJ427" i="1"/>
  <c r="AJ428" i="1" s="1"/>
  <c r="AI427" i="1"/>
  <c r="AI428" i="1" s="1"/>
  <c r="AH427" i="1"/>
  <c r="AG427" i="1"/>
  <c r="AG428" i="1" s="1"/>
  <c r="AF427" i="1"/>
  <c r="AF428" i="1" s="1"/>
  <c r="AE427" i="1"/>
  <c r="AE428" i="1" s="1"/>
  <c r="AD427" i="1"/>
  <c r="AD428" i="1" s="1"/>
  <c r="AB427" i="1"/>
  <c r="AB428" i="1" s="1"/>
  <c r="AA427" i="1"/>
  <c r="AA428" i="1" s="1"/>
  <c r="Z427" i="1"/>
  <c r="Z428" i="1" s="1"/>
  <c r="Y427" i="1"/>
  <c r="Y428" i="1" s="1"/>
  <c r="X427" i="1"/>
  <c r="X428" i="1" s="1"/>
  <c r="W427" i="1"/>
  <c r="W428" i="1" s="1"/>
  <c r="V427" i="1"/>
  <c r="V428" i="1" s="1"/>
  <c r="U427" i="1"/>
  <c r="U428" i="1" s="1"/>
  <c r="T427" i="1"/>
  <c r="T428" i="1" s="1"/>
  <c r="S427" i="1"/>
  <c r="S428" i="1" s="1"/>
  <c r="R427" i="1"/>
  <c r="Q427" i="1"/>
  <c r="Q428" i="1" s="1"/>
  <c r="O427" i="1"/>
  <c r="AP426" i="1"/>
  <c r="AC426" i="1"/>
  <c r="P426" i="1"/>
  <c r="AP425" i="1"/>
  <c r="AC425" i="1"/>
  <c r="P425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AP421" i="1"/>
  <c r="AC421" i="1"/>
  <c r="P421" i="1"/>
  <c r="AP420" i="1"/>
  <c r="AC420" i="1"/>
  <c r="P420" i="1"/>
  <c r="AP419" i="1"/>
  <c r="AC419" i="1"/>
  <c r="P419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AP415" i="1"/>
  <c r="AC415" i="1"/>
  <c r="P415" i="1"/>
  <c r="AP414" i="1"/>
  <c r="AC414" i="1"/>
  <c r="P414" i="1"/>
  <c r="AP413" i="1"/>
  <c r="AC413" i="1"/>
  <c r="P413" i="1"/>
  <c r="O410" i="1"/>
  <c r="G410" i="1"/>
  <c r="N409" i="1"/>
  <c r="N410" i="1" s="1"/>
  <c r="M409" i="1"/>
  <c r="M410" i="1" s="1"/>
  <c r="L409" i="1"/>
  <c r="L410" i="1" s="1"/>
  <c r="K409" i="1"/>
  <c r="K410" i="1" s="1"/>
  <c r="J409" i="1"/>
  <c r="J410" i="1" s="1"/>
  <c r="I409" i="1"/>
  <c r="I410" i="1" s="1"/>
  <c r="H409" i="1"/>
  <c r="H410" i="1" s="1"/>
  <c r="G409" i="1"/>
  <c r="F409" i="1"/>
  <c r="E409" i="1"/>
  <c r="E410" i="1" s="1"/>
  <c r="D409" i="1"/>
  <c r="D410" i="1" s="1"/>
  <c r="P408" i="1"/>
  <c r="P407" i="1"/>
  <c r="O404" i="1"/>
  <c r="E404" i="1"/>
  <c r="N403" i="1"/>
  <c r="N404" i="1" s="1"/>
  <c r="M403" i="1"/>
  <c r="M404" i="1" s="1"/>
  <c r="L403" i="1"/>
  <c r="L404" i="1" s="1"/>
  <c r="K403" i="1"/>
  <c r="K404" i="1" s="1"/>
  <c r="J403" i="1"/>
  <c r="J404" i="1" s="1"/>
  <c r="I403" i="1"/>
  <c r="I404" i="1" s="1"/>
  <c r="H403" i="1"/>
  <c r="H404" i="1" s="1"/>
  <c r="G403" i="1"/>
  <c r="G404" i="1" s="1"/>
  <c r="F403" i="1"/>
  <c r="F404" i="1" s="1"/>
  <c r="E403" i="1"/>
  <c r="D403" i="1"/>
  <c r="P402" i="1"/>
  <c r="P401" i="1"/>
  <c r="O398" i="1"/>
  <c r="N397" i="1"/>
  <c r="N398" i="1" s="1"/>
  <c r="M397" i="1"/>
  <c r="M398" i="1" s="1"/>
  <c r="L397" i="1"/>
  <c r="L398" i="1" s="1"/>
  <c r="K397" i="1"/>
  <c r="K398" i="1" s="1"/>
  <c r="J397" i="1"/>
  <c r="J398" i="1" s="1"/>
  <c r="I397" i="1"/>
  <c r="I398" i="1" s="1"/>
  <c r="H397" i="1"/>
  <c r="H398" i="1" s="1"/>
  <c r="G397" i="1"/>
  <c r="G398" i="1" s="1"/>
  <c r="F397" i="1"/>
  <c r="F398" i="1" s="1"/>
  <c r="E397" i="1"/>
  <c r="E398" i="1" s="1"/>
  <c r="D397" i="1"/>
  <c r="P396" i="1"/>
  <c r="P395" i="1"/>
  <c r="O392" i="1"/>
  <c r="F392" i="1"/>
  <c r="N391" i="1"/>
  <c r="N392" i="1" s="1"/>
  <c r="M391" i="1"/>
  <c r="M392" i="1" s="1"/>
  <c r="L391" i="1"/>
  <c r="L392" i="1" s="1"/>
  <c r="K391" i="1"/>
  <c r="K392" i="1" s="1"/>
  <c r="J391" i="1"/>
  <c r="J392" i="1" s="1"/>
  <c r="I391" i="1"/>
  <c r="I392" i="1" s="1"/>
  <c r="H391" i="1"/>
  <c r="H392" i="1" s="1"/>
  <c r="G391" i="1"/>
  <c r="G392" i="1" s="1"/>
  <c r="F391" i="1"/>
  <c r="E391" i="1"/>
  <c r="E392" i="1" s="1"/>
  <c r="D391" i="1"/>
  <c r="D392" i="1" s="1"/>
  <c r="P390" i="1"/>
  <c r="P389" i="1"/>
  <c r="O386" i="1"/>
  <c r="J386" i="1"/>
  <c r="I386" i="1"/>
  <c r="N385" i="1"/>
  <c r="N386" i="1" s="1"/>
  <c r="M385" i="1"/>
  <c r="M386" i="1" s="1"/>
  <c r="L385" i="1"/>
  <c r="L386" i="1" s="1"/>
  <c r="K385" i="1"/>
  <c r="K386" i="1" s="1"/>
  <c r="J385" i="1"/>
  <c r="I385" i="1"/>
  <c r="H385" i="1"/>
  <c r="H386" i="1" s="1"/>
  <c r="G385" i="1"/>
  <c r="G386" i="1" s="1"/>
  <c r="F385" i="1"/>
  <c r="F386" i="1" s="1"/>
  <c r="E385" i="1"/>
  <c r="E386" i="1" s="1"/>
  <c r="D385" i="1"/>
  <c r="P384" i="1"/>
  <c r="P383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AP379" i="1"/>
  <c r="AC379" i="1"/>
  <c r="P379" i="1"/>
  <c r="AP378" i="1"/>
  <c r="AC378" i="1"/>
  <c r="P378" i="1"/>
  <c r="AP377" i="1"/>
  <c r="AC377" i="1"/>
  <c r="AC380" i="1" s="1"/>
  <c r="P377" i="1"/>
  <c r="AB374" i="1"/>
  <c r="AO373" i="1"/>
  <c r="AO374" i="1" s="1"/>
  <c r="AN373" i="1"/>
  <c r="AN374" i="1" s="1"/>
  <c r="AM373" i="1"/>
  <c r="AM374" i="1" s="1"/>
  <c r="AL373" i="1"/>
  <c r="AL374" i="1" s="1"/>
  <c r="AK373" i="1"/>
  <c r="AK374" i="1" s="1"/>
  <c r="AJ373" i="1"/>
  <c r="AJ374" i="1" s="1"/>
  <c r="AI373" i="1"/>
  <c r="AI374" i="1" s="1"/>
  <c r="AH373" i="1"/>
  <c r="AH374" i="1" s="1"/>
  <c r="AG373" i="1"/>
  <c r="AG374" i="1" s="1"/>
  <c r="AF373" i="1"/>
  <c r="AF374" i="1" s="1"/>
  <c r="AE373" i="1"/>
  <c r="AE374" i="1" s="1"/>
  <c r="AD373" i="1"/>
  <c r="AB373" i="1"/>
  <c r="AA373" i="1"/>
  <c r="AA374" i="1" s="1"/>
  <c r="Z373" i="1"/>
  <c r="Z374" i="1" s="1"/>
  <c r="Y373" i="1"/>
  <c r="Y374" i="1" s="1"/>
  <c r="X373" i="1"/>
  <c r="X374" i="1" s="1"/>
  <c r="W373" i="1"/>
  <c r="W374" i="1" s="1"/>
  <c r="V373" i="1"/>
  <c r="V374" i="1" s="1"/>
  <c r="U373" i="1"/>
  <c r="U374" i="1" s="1"/>
  <c r="T373" i="1"/>
  <c r="T374" i="1" s="1"/>
  <c r="S373" i="1"/>
  <c r="S374" i="1" s="1"/>
  <c r="R373" i="1"/>
  <c r="R374" i="1" s="1"/>
  <c r="Q373" i="1"/>
  <c r="Q374" i="1" s="1"/>
  <c r="O373" i="1"/>
  <c r="O374" i="1" s="1"/>
  <c r="N373" i="1"/>
  <c r="N374" i="1" s="1"/>
  <c r="M373" i="1"/>
  <c r="M374" i="1" s="1"/>
  <c r="L373" i="1"/>
  <c r="L374" i="1" s="1"/>
  <c r="K373" i="1"/>
  <c r="K374" i="1" s="1"/>
  <c r="J373" i="1"/>
  <c r="J374" i="1" s="1"/>
  <c r="I373" i="1"/>
  <c r="I374" i="1" s="1"/>
  <c r="H373" i="1"/>
  <c r="H374" i="1" s="1"/>
  <c r="G373" i="1"/>
  <c r="G374" i="1" s="1"/>
  <c r="F373" i="1"/>
  <c r="F374" i="1" s="1"/>
  <c r="E373" i="1"/>
  <c r="D373" i="1"/>
  <c r="D374" i="1" s="1"/>
  <c r="AP372" i="1"/>
  <c r="AC372" i="1"/>
  <c r="P372" i="1"/>
  <c r="AP371" i="1"/>
  <c r="AC371" i="1"/>
  <c r="P371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AP367" i="1"/>
  <c r="AC367" i="1"/>
  <c r="P367" i="1"/>
  <c r="AP366" i="1"/>
  <c r="AC366" i="1"/>
  <c r="P366" i="1"/>
  <c r="AP365" i="1"/>
  <c r="AC365" i="1"/>
  <c r="P365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AC361" i="1"/>
  <c r="P361" i="1"/>
  <c r="AC360" i="1"/>
  <c r="P360" i="1"/>
  <c r="AC359" i="1"/>
  <c r="P359" i="1"/>
  <c r="AL356" i="1"/>
  <c r="N356" i="1"/>
  <c r="I356" i="1"/>
  <c r="AO355" i="1"/>
  <c r="AO356" i="1" s="1"/>
  <c r="AN355" i="1"/>
  <c r="AN356" i="1" s="1"/>
  <c r="AM355" i="1"/>
  <c r="AM356" i="1" s="1"/>
  <c r="AL355" i="1"/>
  <c r="AK355" i="1"/>
  <c r="AK356" i="1" s="1"/>
  <c r="AJ355" i="1"/>
  <c r="AJ356" i="1" s="1"/>
  <c r="AI355" i="1"/>
  <c r="AI356" i="1" s="1"/>
  <c r="AH355" i="1"/>
  <c r="AH356" i="1" s="1"/>
  <c r="AG355" i="1"/>
  <c r="AG356" i="1" s="1"/>
  <c r="AF355" i="1"/>
  <c r="AF356" i="1" s="1"/>
  <c r="AE355" i="1"/>
  <c r="AE356" i="1" s="1"/>
  <c r="AD355" i="1"/>
  <c r="AD356" i="1" s="1"/>
  <c r="AB355" i="1"/>
  <c r="AB356" i="1" s="1"/>
  <c r="AA355" i="1"/>
  <c r="AA356" i="1" s="1"/>
  <c r="Z355" i="1"/>
  <c r="Z356" i="1" s="1"/>
  <c r="Y355" i="1"/>
  <c r="Y356" i="1" s="1"/>
  <c r="X355" i="1"/>
  <c r="X356" i="1" s="1"/>
  <c r="W355" i="1"/>
  <c r="W356" i="1" s="1"/>
  <c r="V355" i="1"/>
  <c r="V356" i="1" s="1"/>
  <c r="U355" i="1"/>
  <c r="U356" i="1" s="1"/>
  <c r="T355" i="1"/>
  <c r="T356" i="1" s="1"/>
  <c r="S355" i="1"/>
  <c r="S356" i="1" s="1"/>
  <c r="R355" i="1"/>
  <c r="R356" i="1" s="1"/>
  <c r="Q355" i="1"/>
  <c r="Q356" i="1" s="1"/>
  <c r="O355" i="1"/>
  <c r="O356" i="1" s="1"/>
  <c r="N355" i="1"/>
  <c r="M355" i="1"/>
  <c r="M356" i="1" s="1"/>
  <c r="L355" i="1"/>
  <c r="L356" i="1" s="1"/>
  <c r="K355" i="1"/>
  <c r="K356" i="1" s="1"/>
  <c r="J355" i="1"/>
  <c r="J356" i="1" s="1"/>
  <c r="I355" i="1"/>
  <c r="H355" i="1"/>
  <c r="H356" i="1" s="1"/>
  <c r="G355" i="1"/>
  <c r="G356" i="1" s="1"/>
  <c r="F355" i="1"/>
  <c r="F356" i="1" s="1"/>
  <c r="E355" i="1"/>
  <c r="E356" i="1" s="1"/>
  <c r="D355" i="1"/>
  <c r="AP354" i="1"/>
  <c r="AC354" i="1"/>
  <c r="P354" i="1"/>
  <c r="AP353" i="1"/>
  <c r="AC353" i="1"/>
  <c r="P353" i="1"/>
  <c r="O350" i="1"/>
  <c r="N350" i="1"/>
  <c r="M350" i="1"/>
  <c r="L350" i="1"/>
  <c r="K350" i="1"/>
  <c r="J350" i="1"/>
  <c r="D350" i="1"/>
  <c r="I349" i="1"/>
  <c r="I350" i="1" s="1"/>
  <c r="H349" i="1"/>
  <c r="H350" i="1" s="1"/>
  <c r="G349" i="1"/>
  <c r="G350" i="1" s="1"/>
  <c r="F349" i="1"/>
  <c r="E349" i="1"/>
  <c r="E350" i="1" s="1"/>
  <c r="D349" i="1"/>
  <c r="P348" i="1"/>
  <c r="P347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P343" i="1"/>
  <c r="P342" i="1"/>
  <c r="P341" i="1"/>
  <c r="O338" i="1"/>
  <c r="N338" i="1"/>
  <c r="M338" i="1"/>
  <c r="L338" i="1"/>
  <c r="K337" i="1"/>
  <c r="K338" i="1" s="1"/>
  <c r="J337" i="1"/>
  <c r="J338" i="1" s="1"/>
  <c r="I337" i="1"/>
  <c r="I338" i="1" s="1"/>
  <c r="H337" i="1"/>
  <c r="H338" i="1" s="1"/>
  <c r="G337" i="1"/>
  <c r="G338" i="1" s="1"/>
  <c r="F337" i="1"/>
  <c r="F338" i="1" s="1"/>
  <c r="E337" i="1"/>
  <c r="E338" i="1" s="1"/>
  <c r="D337" i="1"/>
  <c r="D338" i="1" s="1"/>
  <c r="P336" i="1"/>
  <c r="P335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AP331" i="1"/>
  <c r="AC331" i="1"/>
  <c r="P331" i="1"/>
  <c r="AP330" i="1"/>
  <c r="AC330" i="1"/>
  <c r="P330" i="1"/>
  <c r="AP329" i="1"/>
  <c r="AC329" i="1"/>
  <c r="AC332" i="1" s="1"/>
  <c r="P329" i="1"/>
  <c r="P332" i="1" s="1"/>
  <c r="U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AO325" i="1"/>
  <c r="AO326" i="1" s="1"/>
  <c r="AN325" i="1"/>
  <c r="AN326" i="1" s="1"/>
  <c r="AM325" i="1"/>
  <c r="AM326" i="1" s="1"/>
  <c r="AL325" i="1"/>
  <c r="AL326" i="1" s="1"/>
  <c r="AK325" i="1"/>
  <c r="AK326" i="1" s="1"/>
  <c r="AJ325" i="1"/>
  <c r="AJ326" i="1" s="1"/>
  <c r="AI325" i="1"/>
  <c r="AI326" i="1" s="1"/>
  <c r="AH325" i="1"/>
  <c r="AH326" i="1" s="1"/>
  <c r="AG325" i="1"/>
  <c r="AG326" i="1" s="1"/>
  <c r="AF325" i="1"/>
  <c r="AF326" i="1" s="1"/>
  <c r="AE325" i="1"/>
  <c r="AE326" i="1" s="1"/>
  <c r="AD325" i="1"/>
  <c r="AD326" i="1" s="1"/>
  <c r="AB325" i="1"/>
  <c r="AB326" i="1" s="1"/>
  <c r="AA325" i="1"/>
  <c r="AA326" i="1" s="1"/>
  <c r="Z325" i="1"/>
  <c r="Z326" i="1" s="1"/>
  <c r="Y325" i="1"/>
  <c r="Y326" i="1" s="1"/>
  <c r="X325" i="1"/>
  <c r="X326" i="1" s="1"/>
  <c r="W325" i="1"/>
  <c r="W326" i="1" s="1"/>
  <c r="V325" i="1"/>
  <c r="V326" i="1" s="1"/>
  <c r="U325" i="1"/>
  <c r="T325" i="1"/>
  <c r="T326" i="1" s="1"/>
  <c r="S325" i="1"/>
  <c r="S326" i="1" s="1"/>
  <c r="R325" i="1"/>
  <c r="R326" i="1" s="1"/>
  <c r="Q325" i="1"/>
  <c r="P325" i="1"/>
  <c r="AP324" i="1"/>
  <c r="AC324" i="1"/>
  <c r="P324" i="1"/>
  <c r="AP323" i="1"/>
  <c r="AC323" i="1"/>
  <c r="P323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AC319" i="1"/>
  <c r="P319" i="1"/>
  <c r="AC318" i="1"/>
  <c r="P318" i="1"/>
  <c r="AC317" i="1"/>
  <c r="P317" i="1"/>
  <c r="AA314" i="1"/>
  <c r="R314" i="1"/>
  <c r="AO313" i="1"/>
  <c r="AO314" i="1" s="1"/>
  <c r="AN313" i="1"/>
  <c r="AN314" i="1" s="1"/>
  <c r="AM313" i="1"/>
  <c r="AM314" i="1" s="1"/>
  <c r="AL313" i="1"/>
  <c r="AL314" i="1" s="1"/>
  <c r="AK313" i="1"/>
  <c r="AK314" i="1" s="1"/>
  <c r="AJ313" i="1"/>
  <c r="AJ314" i="1" s="1"/>
  <c r="AI313" i="1"/>
  <c r="AI314" i="1" s="1"/>
  <c r="AH313" i="1"/>
  <c r="AH314" i="1" s="1"/>
  <c r="AG313" i="1"/>
  <c r="AG314" i="1" s="1"/>
  <c r="AF313" i="1"/>
  <c r="AF314" i="1" s="1"/>
  <c r="AE313" i="1"/>
  <c r="AE314" i="1" s="1"/>
  <c r="AD313" i="1"/>
  <c r="AD314" i="1" s="1"/>
  <c r="AB313" i="1"/>
  <c r="AB314" i="1" s="1"/>
  <c r="AA313" i="1"/>
  <c r="Z313" i="1"/>
  <c r="Z314" i="1" s="1"/>
  <c r="Y313" i="1"/>
  <c r="Y314" i="1" s="1"/>
  <c r="X313" i="1"/>
  <c r="X314" i="1" s="1"/>
  <c r="W313" i="1"/>
  <c r="W314" i="1" s="1"/>
  <c r="V313" i="1"/>
  <c r="V314" i="1" s="1"/>
  <c r="U313" i="1"/>
  <c r="U314" i="1" s="1"/>
  <c r="T313" i="1"/>
  <c r="T314" i="1" s="1"/>
  <c r="S313" i="1"/>
  <c r="S314" i="1" s="1"/>
  <c r="R313" i="1"/>
  <c r="Q313" i="1"/>
  <c r="Q314" i="1" s="1"/>
  <c r="O313" i="1"/>
  <c r="O314" i="1" s="1"/>
  <c r="N313" i="1"/>
  <c r="N314" i="1" s="1"/>
  <c r="M313" i="1"/>
  <c r="M314" i="1" s="1"/>
  <c r="L313" i="1"/>
  <c r="L314" i="1" s="1"/>
  <c r="K313" i="1"/>
  <c r="K314" i="1" s="1"/>
  <c r="J313" i="1"/>
  <c r="J314" i="1" s="1"/>
  <c r="I313" i="1"/>
  <c r="I314" i="1" s="1"/>
  <c r="H313" i="1"/>
  <c r="H314" i="1" s="1"/>
  <c r="G313" i="1"/>
  <c r="G314" i="1" s="1"/>
  <c r="F313" i="1"/>
  <c r="F314" i="1" s="1"/>
  <c r="E313" i="1"/>
  <c r="E314" i="1" s="1"/>
  <c r="D313" i="1"/>
  <c r="AP312" i="1"/>
  <c r="AC312" i="1"/>
  <c r="P312" i="1"/>
  <c r="AP311" i="1"/>
  <c r="AC311" i="1"/>
  <c r="P311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AP307" i="1"/>
  <c r="AC307" i="1"/>
  <c r="P307" i="1"/>
  <c r="AP306" i="1"/>
  <c r="AC306" i="1"/>
  <c r="P306" i="1"/>
  <c r="AP305" i="1"/>
  <c r="AC305" i="1"/>
  <c r="P305" i="1"/>
  <c r="O301" i="1"/>
  <c r="O302" i="1" s="1"/>
  <c r="N301" i="1"/>
  <c r="N302" i="1" s="1"/>
  <c r="M301" i="1"/>
  <c r="M302" i="1" s="1"/>
  <c r="L301" i="1"/>
  <c r="L302" i="1" s="1"/>
  <c r="K301" i="1"/>
  <c r="K302" i="1" s="1"/>
  <c r="J301" i="1"/>
  <c r="J302" i="1" s="1"/>
  <c r="I301" i="1"/>
  <c r="I302" i="1" s="1"/>
  <c r="H301" i="1"/>
  <c r="H302" i="1" s="1"/>
  <c r="G301" i="1"/>
  <c r="G302" i="1" s="1"/>
  <c r="F301" i="1"/>
  <c r="F302" i="1" s="1"/>
  <c r="E301" i="1"/>
  <c r="E302" i="1" s="1"/>
  <c r="D301" i="1"/>
  <c r="P300" i="1"/>
  <c r="P299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AC295" i="1"/>
  <c r="P295" i="1"/>
  <c r="AC294" i="1"/>
  <c r="P294" i="1"/>
  <c r="AC293" i="1"/>
  <c r="P293" i="1"/>
  <c r="R290" i="1"/>
  <c r="AO289" i="1"/>
  <c r="AO290" i="1" s="1"/>
  <c r="AN289" i="1"/>
  <c r="AN290" i="1" s="1"/>
  <c r="AM289" i="1"/>
  <c r="AM290" i="1" s="1"/>
  <c r="AL289" i="1"/>
  <c r="AL290" i="1" s="1"/>
  <c r="AK289" i="1"/>
  <c r="AK290" i="1" s="1"/>
  <c r="AJ289" i="1"/>
  <c r="AJ290" i="1" s="1"/>
  <c r="AI289" i="1"/>
  <c r="AI290" i="1" s="1"/>
  <c r="AH289" i="1"/>
  <c r="AH290" i="1" s="1"/>
  <c r="AG289" i="1"/>
  <c r="AG290" i="1" s="1"/>
  <c r="AF289" i="1"/>
  <c r="AF290" i="1" s="1"/>
  <c r="AE289" i="1"/>
  <c r="AD289" i="1"/>
  <c r="AD290" i="1" s="1"/>
  <c r="AB289" i="1"/>
  <c r="AB290" i="1" s="1"/>
  <c r="AA289" i="1"/>
  <c r="AA290" i="1" s="1"/>
  <c r="Z289" i="1"/>
  <c r="Z290" i="1" s="1"/>
  <c r="Y289" i="1"/>
  <c r="Y290" i="1" s="1"/>
  <c r="X289" i="1"/>
  <c r="X290" i="1" s="1"/>
  <c r="W289" i="1"/>
  <c r="W290" i="1" s="1"/>
  <c r="V289" i="1"/>
  <c r="V290" i="1" s="1"/>
  <c r="U289" i="1"/>
  <c r="U290" i="1" s="1"/>
  <c r="T289" i="1"/>
  <c r="T290" i="1" s="1"/>
  <c r="S289" i="1"/>
  <c r="S290" i="1" s="1"/>
  <c r="R289" i="1"/>
  <c r="Q289" i="1"/>
  <c r="O289" i="1"/>
  <c r="O290" i="1" s="1"/>
  <c r="N289" i="1"/>
  <c r="N290" i="1" s="1"/>
  <c r="M289" i="1"/>
  <c r="M290" i="1" s="1"/>
  <c r="L289" i="1"/>
  <c r="L290" i="1" s="1"/>
  <c r="K289" i="1"/>
  <c r="K290" i="1" s="1"/>
  <c r="J289" i="1"/>
  <c r="J290" i="1" s="1"/>
  <c r="I289" i="1"/>
  <c r="I290" i="1" s="1"/>
  <c r="H289" i="1"/>
  <c r="H290" i="1" s="1"/>
  <c r="G289" i="1"/>
  <c r="G290" i="1" s="1"/>
  <c r="F289" i="1"/>
  <c r="F290" i="1" s="1"/>
  <c r="E289" i="1"/>
  <c r="E290" i="1" s="1"/>
  <c r="D289" i="1"/>
  <c r="D290" i="1" s="1"/>
  <c r="AP288" i="1"/>
  <c r="AC288" i="1"/>
  <c r="P288" i="1"/>
  <c r="AP287" i="1"/>
  <c r="AC287" i="1"/>
  <c r="P287" i="1"/>
  <c r="AK284" i="1"/>
  <c r="AO283" i="1"/>
  <c r="AO284" i="1" s="1"/>
  <c r="AN283" i="1"/>
  <c r="AN284" i="1" s="1"/>
  <c r="AM283" i="1"/>
  <c r="AM284" i="1" s="1"/>
  <c r="AL283" i="1"/>
  <c r="AL284" i="1" s="1"/>
  <c r="AK283" i="1"/>
  <c r="AJ283" i="1"/>
  <c r="AJ284" i="1" s="1"/>
  <c r="AI283" i="1"/>
  <c r="AI284" i="1" s="1"/>
  <c r="AH283" i="1"/>
  <c r="AH284" i="1" s="1"/>
  <c r="AG283" i="1"/>
  <c r="AG284" i="1" s="1"/>
  <c r="AF283" i="1"/>
  <c r="AF284" i="1" s="1"/>
  <c r="AE283" i="1"/>
  <c r="AE284" i="1" s="1"/>
  <c r="AD283" i="1"/>
  <c r="AB283" i="1"/>
  <c r="AB284" i="1" s="1"/>
  <c r="AA283" i="1"/>
  <c r="AA284" i="1" s="1"/>
  <c r="Z283" i="1"/>
  <c r="Z284" i="1" s="1"/>
  <c r="Y283" i="1"/>
  <c r="Y284" i="1" s="1"/>
  <c r="X283" i="1"/>
  <c r="X284" i="1" s="1"/>
  <c r="W283" i="1"/>
  <c r="W284" i="1" s="1"/>
  <c r="V283" i="1"/>
  <c r="V284" i="1" s="1"/>
  <c r="U283" i="1"/>
  <c r="U284" i="1" s="1"/>
  <c r="T283" i="1"/>
  <c r="T284" i="1" s="1"/>
  <c r="S283" i="1"/>
  <c r="S284" i="1" s="1"/>
  <c r="R283" i="1"/>
  <c r="R284" i="1" s="1"/>
  <c r="Q283" i="1"/>
  <c r="Q284" i="1" s="1"/>
  <c r="O283" i="1"/>
  <c r="O284" i="1" s="1"/>
  <c r="N283" i="1"/>
  <c r="N284" i="1" s="1"/>
  <c r="M283" i="1"/>
  <c r="M284" i="1" s="1"/>
  <c r="L283" i="1"/>
  <c r="L284" i="1" s="1"/>
  <c r="K283" i="1"/>
  <c r="K284" i="1" s="1"/>
  <c r="J283" i="1"/>
  <c r="J284" i="1" s="1"/>
  <c r="I283" i="1"/>
  <c r="I284" i="1" s="1"/>
  <c r="H283" i="1"/>
  <c r="H284" i="1" s="1"/>
  <c r="G283" i="1"/>
  <c r="G284" i="1" s="1"/>
  <c r="F283" i="1"/>
  <c r="F284" i="1" s="1"/>
  <c r="E283" i="1"/>
  <c r="E284" i="1" s="1"/>
  <c r="D283" i="1"/>
  <c r="D284" i="1" s="1"/>
  <c r="AP282" i="1"/>
  <c r="AC282" i="1"/>
  <c r="P282" i="1"/>
  <c r="AP281" i="1"/>
  <c r="AC281" i="1"/>
  <c r="P281" i="1"/>
  <c r="AB278" i="1"/>
  <c r="AA278" i="1"/>
  <c r="Z278" i="1"/>
  <c r="Y278" i="1"/>
  <c r="X278" i="1"/>
  <c r="W278" i="1"/>
  <c r="V278" i="1"/>
  <c r="U278" i="1"/>
  <c r="T278" i="1"/>
  <c r="S278" i="1"/>
  <c r="R278" i="1"/>
  <c r="M278" i="1"/>
  <c r="Q277" i="1"/>
  <c r="Q278" i="1" s="1"/>
  <c r="O277" i="1"/>
  <c r="O278" i="1" s="1"/>
  <c r="N277" i="1"/>
  <c r="N278" i="1" s="1"/>
  <c r="M277" i="1"/>
  <c r="L277" i="1"/>
  <c r="L278" i="1" s="1"/>
  <c r="K277" i="1"/>
  <c r="K278" i="1" s="1"/>
  <c r="J277" i="1"/>
  <c r="J278" i="1" s="1"/>
  <c r="I277" i="1"/>
  <c r="I278" i="1" s="1"/>
  <c r="H277" i="1"/>
  <c r="H278" i="1" s="1"/>
  <c r="G277" i="1"/>
  <c r="G278" i="1" s="1"/>
  <c r="F277" i="1"/>
  <c r="F278" i="1" s="1"/>
  <c r="E277" i="1"/>
  <c r="E278" i="1" s="1"/>
  <c r="D277" i="1"/>
  <c r="AC276" i="1"/>
  <c r="P276" i="1"/>
  <c r="AC275" i="1"/>
  <c r="P275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P271" i="1"/>
  <c r="P270" i="1"/>
  <c r="P269" i="1"/>
  <c r="O266" i="1"/>
  <c r="N266" i="1"/>
  <c r="M266" i="1"/>
  <c r="L266" i="1"/>
  <c r="K266" i="1"/>
  <c r="J266" i="1"/>
  <c r="I266" i="1"/>
  <c r="H266" i="1"/>
  <c r="F266" i="1"/>
  <c r="E266" i="1"/>
  <c r="D266" i="1"/>
  <c r="G265" i="1"/>
  <c r="G266" i="1" s="1"/>
  <c r="P264" i="1"/>
  <c r="P263" i="1"/>
  <c r="AF260" i="1"/>
  <c r="AO259" i="1"/>
  <c r="AO260" i="1" s="1"/>
  <c r="AN259" i="1"/>
  <c r="AN260" i="1" s="1"/>
  <c r="AM259" i="1"/>
  <c r="AM260" i="1" s="1"/>
  <c r="AL259" i="1"/>
  <c r="AL260" i="1" s="1"/>
  <c r="AK259" i="1"/>
  <c r="AK260" i="1" s="1"/>
  <c r="AJ259" i="1"/>
  <c r="AJ260" i="1" s="1"/>
  <c r="AI259" i="1"/>
  <c r="AI260" i="1" s="1"/>
  <c r="AH259" i="1"/>
  <c r="AH260" i="1" s="1"/>
  <c r="AG259" i="1"/>
  <c r="AG260" i="1" s="1"/>
  <c r="AF259" i="1"/>
  <c r="AE259" i="1"/>
  <c r="AE260" i="1" s="1"/>
  <c r="AD259" i="1"/>
  <c r="AD260" i="1" s="1"/>
  <c r="AB259" i="1"/>
  <c r="AB260" i="1" s="1"/>
  <c r="AA259" i="1"/>
  <c r="AA260" i="1" s="1"/>
  <c r="Z259" i="1"/>
  <c r="Z260" i="1" s="1"/>
  <c r="Y259" i="1"/>
  <c r="Y260" i="1" s="1"/>
  <c r="X259" i="1"/>
  <c r="X260" i="1" s="1"/>
  <c r="W259" i="1"/>
  <c r="W260" i="1" s="1"/>
  <c r="V259" i="1"/>
  <c r="V260" i="1" s="1"/>
  <c r="U259" i="1"/>
  <c r="U260" i="1" s="1"/>
  <c r="T259" i="1"/>
  <c r="T260" i="1" s="1"/>
  <c r="S259" i="1"/>
  <c r="S260" i="1" s="1"/>
  <c r="R259" i="1"/>
  <c r="R260" i="1" s="1"/>
  <c r="Q259" i="1"/>
  <c r="O259" i="1"/>
  <c r="O260" i="1" s="1"/>
  <c r="N259" i="1"/>
  <c r="N260" i="1" s="1"/>
  <c r="M259" i="1"/>
  <c r="M260" i="1" s="1"/>
  <c r="L259" i="1"/>
  <c r="L260" i="1" s="1"/>
  <c r="K259" i="1"/>
  <c r="K260" i="1" s="1"/>
  <c r="J259" i="1"/>
  <c r="J260" i="1" s="1"/>
  <c r="I259" i="1"/>
  <c r="I260" i="1" s="1"/>
  <c r="H259" i="1"/>
  <c r="H260" i="1" s="1"/>
  <c r="G259" i="1"/>
  <c r="G260" i="1" s="1"/>
  <c r="F259" i="1"/>
  <c r="F260" i="1" s="1"/>
  <c r="E259" i="1"/>
  <c r="E260" i="1" s="1"/>
  <c r="D259" i="1"/>
  <c r="D260" i="1" s="1"/>
  <c r="AP258" i="1"/>
  <c r="AC258" i="1"/>
  <c r="P258" i="1"/>
  <c r="AP257" i="1"/>
  <c r="AC257" i="1"/>
  <c r="P257" i="1"/>
  <c r="AA254" i="1"/>
  <c r="AO253" i="1"/>
  <c r="AO254" i="1" s="1"/>
  <c r="AN253" i="1"/>
  <c r="AN254" i="1" s="1"/>
  <c r="AM253" i="1"/>
  <c r="AM254" i="1" s="1"/>
  <c r="AL253" i="1"/>
  <c r="AL254" i="1" s="1"/>
  <c r="AK253" i="1"/>
  <c r="AK254" i="1" s="1"/>
  <c r="AJ253" i="1"/>
  <c r="AJ254" i="1" s="1"/>
  <c r="AI253" i="1"/>
  <c r="AI254" i="1" s="1"/>
  <c r="AH253" i="1"/>
  <c r="AH254" i="1" s="1"/>
  <c r="AG253" i="1"/>
  <c r="AG254" i="1" s="1"/>
  <c r="AF253" i="1"/>
  <c r="AF254" i="1" s="1"/>
  <c r="AE253" i="1"/>
  <c r="AE254" i="1" s="1"/>
  <c r="AD253" i="1"/>
  <c r="AD254" i="1" s="1"/>
  <c r="AB253" i="1"/>
  <c r="AB254" i="1" s="1"/>
  <c r="AA253" i="1"/>
  <c r="Z253" i="1"/>
  <c r="Z254" i="1" s="1"/>
  <c r="Y253" i="1"/>
  <c r="Y254" i="1" s="1"/>
  <c r="X253" i="1"/>
  <c r="X254" i="1" s="1"/>
  <c r="W253" i="1"/>
  <c r="W254" i="1" s="1"/>
  <c r="V253" i="1"/>
  <c r="V254" i="1" s="1"/>
  <c r="U253" i="1"/>
  <c r="U254" i="1" s="1"/>
  <c r="T253" i="1"/>
  <c r="T254" i="1" s="1"/>
  <c r="S253" i="1"/>
  <c r="S254" i="1" s="1"/>
  <c r="R253" i="1"/>
  <c r="R254" i="1" s="1"/>
  <c r="Q253" i="1"/>
  <c r="O253" i="1"/>
  <c r="O254" i="1" s="1"/>
  <c r="N253" i="1"/>
  <c r="N254" i="1" s="1"/>
  <c r="M253" i="1"/>
  <c r="M254" i="1" s="1"/>
  <c r="L253" i="1"/>
  <c r="L254" i="1" s="1"/>
  <c r="K253" i="1"/>
  <c r="K254" i="1" s="1"/>
  <c r="J253" i="1"/>
  <c r="J254" i="1" s="1"/>
  <c r="I253" i="1"/>
  <c r="I254" i="1" s="1"/>
  <c r="H253" i="1"/>
  <c r="H254" i="1" s="1"/>
  <c r="G253" i="1"/>
  <c r="G254" i="1" s="1"/>
  <c r="F253" i="1"/>
  <c r="F254" i="1" s="1"/>
  <c r="E253" i="1"/>
  <c r="E254" i="1" s="1"/>
  <c r="D253" i="1"/>
  <c r="D254" i="1" s="1"/>
  <c r="AP252" i="1"/>
  <c r="AC252" i="1"/>
  <c r="P252" i="1"/>
  <c r="AP251" i="1"/>
  <c r="AC251" i="1"/>
  <c r="P251" i="1"/>
  <c r="AM248" i="1"/>
  <c r="Y248" i="1"/>
  <c r="AO247" i="1"/>
  <c r="AO248" i="1" s="1"/>
  <c r="AN247" i="1"/>
  <c r="AN248" i="1" s="1"/>
  <c r="AM247" i="1"/>
  <c r="AL247" i="1"/>
  <c r="AL248" i="1" s="1"/>
  <c r="AK247" i="1"/>
  <c r="AK248" i="1" s="1"/>
  <c r="AJ247" i="1"/>
  <c r="AJ248" i="1" s="1"/>
  <c r="AI247" i="1"/>
  <c r="AI248" i="1" s="1"/>
  <c r="AH247" i="1"/>
  <c r="AH248" i="1" s="1"/>
  <c r="AG247" i="1"/>
  <c r="AG248" i="1" s="1"/>
  <c r="AF247" i="1"/>
  <c r="AF248" i="1" s="1"/>
  <c r="AE247" i="1"/>
  <c r="AE248" i="1" s="1"/>
  <c r="AD247" i="1"/>
  <c r="AD248" i="1" s="1"/>
  <c r="AB247" i="1"/>
  <c r="AB248" i="1" s="1"/>
  <c r="AA247" i="1"/>
  <c r="AA248" i="1" s="1"/>
  <c r="Z247" i="1"/>
  <c r="Z248" i="1" s="1"/>
  <c r="Y247" i="1"/>
  <c r="X247" i="1"/>
  <c r="X248" i="1" s="1"/>
  <c r="W247" i="1"/>
  <c r="W248" i="1" s="1"/>
  <c r="V247" i="1"/>
  <c r="V248" i="1" s="1"/>
  <c r="U247" i="1"/>
  <c r="U248" i="1" s="1"/>
  <c r="T247" i="1"/>
  <c r="T248" i="1" s="1"/>
  <c r="S247" i="1"/>
  <c r="S248" i="1" s="1"/>
  <c r="R247" i="1"/>
  <c r="R248" i="1" s="1"/>
  <c r="Q247" i="1"/>
  <c r="Q248" i="1" s="1"/>
  <c r="O247" i="1"/>
  <c r="O248" i="1" s="1"/>
  <c r="N247" i="1"/>
  <c r="N248" i="1" s="1"/>
  <c r="M247" i="1"/>
  <c r="M248" i="1" s="1"/>
  <c r="L247" i="1"/>
  <c r="L248" i="1" s="1"/>
  <c r="K247" i="1"/>
  <c r="K248" i="1" s="1"/>
  <c r="J247" i="1"/>
  <c r="J248" i="1" s="1"/>
  <c r="I247" i="1"/>
  <c r="I248" i="1" s="1"/>
  <c r="H247" i="1"/>
  <c r="H248" i="1" s="1"/>
  <c r="G247" i="1"/>
  <c r="G248" i="1" s="1"/>
  <c r="F247" i="1"/>
  <c r="F248" i="1" s="1"/>
  <c r="E247" i="1"/>
  <c r="E248" i="1" s="1"/>
  <c r="D247" i="1"/>
  <c r="AP246" i="1"/>
  <c r="AC246" i="1"/>
  <c r="P246" i="1"/>
  <c r="AP245" i="1"/>
  <c r="AC245" i="1"/>
  <c r="P245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P241" i="1"/>
  <c r="P240" i="1"/>
  <c r="P239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AP235" i="1"/>
  <c r="AC235" i="1"/>
  <c r="P235" i="1"/>
  <c r="AP234" i="1"/>
  <c r="AC234" i="1"/>
  <c r="P234" i="1"/>
  <c r="AP233" i="1"/>
  <c r="AC233" i="1"/>
  <c r="P233" i="1"/>
  <c r="AF230" i="1"/>
  <c r="AO229" i="1"/>
  <c r="AO230" i="1" s="1"/>
  <c r="AN229" i="1"/>
  <c r="AN230" i="1" s="1"/>
  <c r="AM229" i="1"/>
  <c r="AM230" i="1" s="1"/>
  <c r="AL229" i="1"/>
  <c r="AL230" i="1" s="1"/>
  <c r="AK229" i="1"/>
  <c r="AK230" i="1" s="1"/>
  <c r="AJ229" i="1"/>
  <c r="AJ230" i="1" s="1"/>
  <c r="AI229" i="1"/>
  <c r="AI230" i="1" s="1"/>
  <c r="AH229" i="1"/>
  <c r="AH230" i="1" s="1"/>
  <c r="AG229" i="1"/>
  <c r="AG230" i="1" s="1"/>
  <c r="AF229" i="1"/>
  <c r="AE229" i="1"/>
  <c r="AE230" i="1" s="1"/>
  <c r="AD229" i="1"/>
  <c r="AD230" i="1" s="1"/>
  <c r="AB229" i="1"/>
  <c r="AB230" i="1" s="1"/>
  <c r="AA229" i="1"/>
  <c r="AA230" i="1" s="1"/>
  <c r="Z229" i="1"/>
  <c r="Z230" i="1" s="1"/>
  <c r="Y229" i="1"/>
  <c r="Y230" i="1" s="1"/>
  <c r="X229" i="1"/>
  <c r="X230" i="1" s="1"/>
  <c r="W229" i="1"/>
  <c r="W230" i="1" s="1"/>
  <c r="V229" i="1"/>
  <c r="V230" i="1" s="1"/>
  <c r="U229" i="1"/>
  <c r="U230" i="1" s="1"/>
  <c r="T229" i="1"/>
  <c r="T230" i="1" s="1"/>
  <c r="S229" i="1"/>
  <c r="S230" i="1" s="1"/>
  <c r="R229" i="1"/>
  <c r="R230" i="1" s="1"/>
  <c r="Q229" i="1"/>
  <c r="Q230" i="1" s="1"/>
  <c r="O229" i="1"/>
  <c r="O230" i="1" s="1"/>
  <c r="N229" i="1"/>
  <c r="N230" i="1" s="1"/>
  <c r="M229" i="1"/>
  <c r="M230" i="1" s="1"/>
  <c r="L229" i="1"/>
  <c r="L230" i="1" s="1"/>
  <c r="K229" i="1"/>
  <c r="K230" i="1" s="1"/>
  <c r="J229" i="1"/>
  <c r="J230" i="1" s="1"/>
  <c r="I229" i="1"/>
  <c r="I230" i="1" s="1"/>
  <c r="H229" i="1"/>
  <c r="H230" i="1" s="1"/>
  <c r="G229" i="1"/>
  <c r="G230" i="1" s="1"/>
  <c r="F229" i="1"/>
  <c r="F230" i="1" s="1"/>
  <c r="E229" i="1"/>
  <c r="E230" i="1" s="1"/>
  <c r="D229" i="1"/>
  <c r="AP228" i="1"/>
  <c r="AC228" i="1"/>
  <c r="P228" i="1"/>
  <c r="AP227" i="1"/>
  <c r="AC227" i="1"/>
  <c r="P227" i="1"/>
  <c r="AO223" i="1"/>
  <c r="AO224" i="1" s="1"/>
  <c r="AN223" i="1"/>
  <c r="AN224" i="1" s="1"/>
  <c r="AM223" i="1"/>
  <c r="AM224" i="1" s="1"/>
  <c r="AL223" i="1"/>
  <c r="AL224" i="1" s="1"/>
  <c r="AK223" i="1"/>
  <c r="AK224" i="1" s="1"/>
  <c r="AJ223" i="1"/>
  <c r="AJ224" i="1" s="1"/>
  <c r="AI223" i="1"/>
  <c r="AI224" i="1" s="1"/>
  <c r="AH223" i="1"/>
  <c r="AH224" i="1" s="1"/>
  <c r="AG223" i="1"/>
  <c r="AG224" i="1" s="1"/>
  <c r="AF223" i="1"/>
  <c r="AF224" i="1" s="1"/>
  <c r="AE223" i="1"/>
  <c r="AE224" i="1" s="1"/>
  <c r="AD223" i="1"/>
  <c r="AD224" i="1" s="1"/>
  <c r="AB223" i="1"/>
  <c r="AB224" i="1" s="1"/>
  <c r="AA223" i="1"/>
  <c r="AA224" i="1" s="1"/>
  <c r="Z223" i="1"/>
  <c r="Z224" i="1" s="1"/>
  <c r="Y223" i="1"/>
  <c r="Y224" i="1" s="1"/>
  <c r="X223" i="1"/>
  <c r="X224" i="1" s="1"/>
  <c r="W223" i="1"/>
  <c r="W224" i="1" s="1"/>
  <c r="V223" i="1"/>
  <c r="V224" i="1" s="1"/>
  <c r="U223" i="1"/>
  <c r="U224" i="1" s="1"/>
  <c r="T223" i="1"/>
  <c r="T224" i="1" s="1"/>
  <c r="S223" i="1"/>
  <c r="S224" i="1" s="1"/>
  <c r="R223" i="1"/>
  <c r="R224" i="1" s="1"/>
  <c r="Q223" i="1"/>
  <c r="Q224" i="1" s="1"/>
  <c r="O223" i="1"/>
  <c r="O224" i="1" s="1"/>
  <c r="N223" i="1"/>
  <c r="N224" i="1" s="1"/>
  <c r="M223" i="1"/>
  <c r="M224" i="1" s="1"/>
  <c r="L223" i="1"/>
  <c r="L224" i="1" s="1"/>
  <c r="K223" i="1"/>
  <c r="K224" i="1" s="1"/>
  <c r="J223" i="1"/>
  <c r="J224" i="1" s="1"/>
  <c r="I223" i="1"/>
  <c r="I224" i="1" s="1"/>
  <c r="H223" i="1"/>
  <c r="H224" i="1" s="1"/>
  <c r="G223" i="1"/>
  <c r="G224" i="1" s="1"/>
  <c r="F223" i="1"/>
  <c r="F224" i="1" s="1"/>
  <c r="E223" i="1"/>
  <c r="E224" i="1" s="1"/>
  <c r="D223" i="1"/>
  <c r="AP222" i="1"/>
  <c r="AC222" i="1"/>
  <c r="P222" i="1"/>
  <c r="AP221" i="1"/>
  <c r="AC221" i="1"/>
  <c r="P221" i="1"/>
  <c r="AN218" i="1"/>
  <c r="AM218" i="1"/>
  <c r="M218" i="1"/>
  <c r="AO217" i="1"/>
  <c r="AO218" i="1" s="1"/>
  <c r="AN217" i="1"/>
  <c r="AM217" i="1"/>
  <c r="AL217" i="1"/>
  <c r="AL218" i="1" s="1"/>
  <c r="AK217" i="1"/>
  <c r="AK218" i="1" s="1"/>
  <c r="AJ217" i="1"/>
  <c r="AJ218" i="1" s="1"/>
  <c r="AI217" i="1"/>
  <c r="AI218" i="1" s="1"/>
  <c r="AH217" i="1"/>
  <c r="AH218" i="1" s="1"/>
  <c r="AG217" i="1"/>
  <c r="AG218" i="1" s="1"/>
  <c r="AF217" i="1"/>
  <c r="AF218" i="1" s="1"/>
  <c r="AE217" i="1"/>
  <c r="AE218" i="1" s="1"/>
  <c r="AD217" i="1"/>
  <c r="AD218" i="1" s="1"/>
  <c r="AB217" i="1"/>
  <c r="AB218" i="1" s="1"/>
  <c r="AA217" i="1"/>
  <c r="AA218" i="1" s="1"/>
  <c r="Z217" i="1"/>
  <c r="Z218" i="1" s="1"/>
  <c r="Y217" i="1"/>
  <c r="Y218" i="1" s="1"/>
  <c r="X217" i="1"/>
  <c r="X218" i="1" s="1"/>
  <c r="W217" i="1"/>
  <c r="W218" i="1" s="1"/>
  <c r="V217" i="1"/>
  <c r="V218" i="1" s="1"/>
  <c r="U217" i="1"/>
  <c r="U218" i="1" s="1"/>
  <c r="T217" i="1"/>
  <c r="T218" i="1" s="1"/>
  <c r="S217" i="1"/>
  <c r="S218" i="1" s="1"/>
  <c r="R217" i="1"/>
  <c r="R218" i="1" s="1"/>
  <c r="Q217" i="1"/>
  <c r="O217" i="1"/>
  <c r="O218" i="1" s="1"/>
  <c r="N217" i="1"/>
  <c r="N218" i="1" s="1"/>
  <c r="M217" i="1"/>
  <c r="L217" i="1"/>
  <c r="L218" i="1" s="1"/>
  <c r="K217" i="1"/>
  <c r="K218" i="1" s="1"/>
  <c r="J217" i="1"/>
  <c r="J218" i="1" s="1"/>
  <c r="I217" i="1"/>
  <c r="I218" i="1" s="1"/>
  <c r="H217" i="1"/>
  <c r="H218" i="1" s="1"/>
  <c r="G217" i="1"/>
  <c r="G218" i="1" s="1"/>
  <c r="F217" i="1"/>
  <c r="F218" i="1" s="1"/>
  <c r="E217" i="1"/>
  <c r="D217" i="1"/>
  <c r="D218" i="1" s="1"/>
  <c r="AP216" i="1"/>
  <c r="AC216" i="1"/>
  <c r="P216" i="1"/>
  <c r="AP215" i="1"/>
  <c r="AC215" i="1"/>
  <c r="P215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P211" i="1"/>
  <c r="P210" i="1"/>
  <c r="P209" i="1"/>
  <c r="AO205" i="1"/>
  <c r="AO206" i="1" s="1"/>
  <c r="AN205" i="1"/>
  <c r="AN206" i="1" s="1"/>
  <c r="AM205" i="1"/>
  <c r="AM206" i="1" s="1"/>
  <c r="AL205" i="1"/>
  <c r="AL206" i="1" s="1"/>
  <c r="AK205" i="1"/>
  <c r="AK206" i="1" s="1"/>
  <c r="AJ205" i="1"/>
  <c r="AJ206" i="1" s="1"/>
  <c r="AI205" i="1"/>
  <c r="AI206" i="1" s="1"/>
  <c r="AH205" i="1"/>
  <c r="AH206" i="1" s="1"/>
  <c r="AG205" i="1"/>
  <c r="AG206" i="1" s="1"/>
  <c r="AF205" i="1"/>
  <c r="AF206" i="1" s="1"/>
  <c r="AE205" i="1"/>
  <c r="AE206" i="1" s="1"/>
  <c r="AD205" i="1"/>
  <c r="AD206" i="1" s="1"/>
  <c r="AB205" i="1"/>
  <c r="AB206" i="1" s="1"/>
  <c r="AA205" i="1"/>
  <c r="AA206" i="1" s="1"/>
  <c r="Z205" i="1"/>
  <c r="Z206" i="1" s="1"/>
  <c r="Y205" i="1"/>
  <c r="Y206" i="1" s="1"/>
  <c r="X205" i="1"/>
  <c r="X206" i="1" s="1"/>
  <c r="W205" i="1"/>
  <c r="W206" i="1" s="1"/>
  <c r="V205" i="1"/>
  <c r="V206" i="1" s="1"/>
  <c r="U205" i="1"/>
  <c r="U206" i="1" s="1"/>
  <c r="T205" i="1"/>
  <c r="T206" i="1" s="1"/>
  <c r="S205" i="1"/>
  <c r="S206" i="1" s="1"/>
  <c r="R205" i="1"/>
  <c r="R206" i="1" s="1"/>
  <c r="Q205" i="1"/>
  <c r="O205" i="1"/>
  <c r="O206" i="1" s="1"/>
  <c r="N205" i="1"/>
  <c r="N206" i="1" s="1"/>
  <c r="M205" i="1"/>
  <c r="M206" i="1" s="1"/>
  <c r="L205" i="1"/>
  <c r="L206" i="1" s="1"/>
  <c r="K205" i="1"/>
  <c r="K206" i="1" s="1"/>
  <c r="J205" i="1"/>
  <c r="J206" i="1" s="1"/>
  <c r="I205" i="1"/>
  <c r="I206" i="1" s="1"/>
  <c r="H205" i="1"/>
  <c r="H206" i="1" s="1"/>
  <c r="G205" i="1"/>
  <c r="G206" i="1" s="1"/>
  <c r="F205" i="1"/>
  <c r="F206" i="1" s="1"/>
  <c r="E205" i="1"/>
  <c r="D205" i="1"/>
  <c r="D206" i="1" s="1"/>
  <c r="AP204" i="1"/>
  <c r="AC204" i="1"/>
  <c r="P204" i="1"/>
  <c r="AP203" i="1"/>
  <c r="AC203" i="1"/>
  <c r="P203" i="1"/>
  <c r="V200" i="1"/>
  <c r="AO199" i="1"/>
  <c r="AO200" i="1" s="1"/>
  <c r="AN199" i="1"/>
  <c r="AN200" i="1" s="1"/>
  <c r="AM199" i="1"/>
  <c r="AM200" i="1" s="1"/>
  <c r="AL199" i="1"/>
  <c r="AL200" i="1" s="1"/>
  <c r="AK199" i="1"/>
  <c r="AK200" i="1" s="1"/>
  <c r="AJ199" i="1"/>
  <c r="AJ200" i="1" s="1"/>
  <c r="AI199" i="1"/>
  <c r="AI200" i="1" s="1"/>
  <c r="AH199" i="1"/>
  <c r="AH200" i="1" s="1"/>
  <c r="AG199" i="1"/>
  <c r="AF199" i="1"/>
  <c r="AF200" i="1" s="1"/>
  <c r="AE199" i="1"/>
  <c r="AE200" i="1" s="1"/>
  <c r="AD199" i="1"/>
  <c r="AD200" i="1" s="1"/>
  <c r="AB199" i="1"/>
  <c r="AB200" i="1" s="1"/>
  <c r="AA199" i="1"/>
  <c r="AA200" i="1" s="1"/>
  <c r="Z199" i="1"/>
  <c r="Z200" i="1" s="1"/>
  <c r="Y199" i="1"/>
  <c r="Y200" i="1" s="1"/>
  <c r="X199" i="1"/>
  <c r="X200" i="1" s="1"/>
  <c r="W199" i="1"/>
  <c r="W200" i="1" s="1"/>
  <c r="V199" i="1"/>
  <c r="U199" i="1"/>
  <c r="U200" i="1" s="1"/>
  <c r="T199" i="1"/>
  <c r="T200" i="1" s="1"/>
  <c r="S199" i="1"/>
  <c r="S200" i="1" s="1"/>
  <c r="R199" i="1"/>
  <c r="R200" i="1" s="1"/>
  <c r="Q199" i="1"/>
  <c r="O199" i="1"/>
  <c r="O200" i="1" s="1"/>
  <c r="N199" i="1"/>
  <c r="N200" i="1" s="1"/>
  <c r="M199" i="1"/>
  <c r="M200" i="1" s="1"/>
  <c r="L199" i="1"/>
  <c r="L200" i="1" s="1"/>
  <c r="K199" i="1"/>
  <c r="K200" i="1" s="1"/>
  <c r="J199" i="1"/>
  <c r="J200" i="1" s="1"/>
  <c r="I199" i="1"/>
  <c r="I200" i="1" s="1"/>
  <c r="H199" i="1"/>
  <c r="H200" i="1" s="1"/>
  <c r="G199" i="1"/>
  <c r="G200" i="1" s="1"/>
  <c r="F199" i="1"/>
  <c r="F200" i="1" s="1"/>
  <c r="E199" i="1"/>
  <c r="E200" i="1" s="1"/>
  <c r="D199" i="1"/>
  <c r="D200" i="1" s="1"/>
  <c r="AP198" i="1"/>
  <c r="AC198" i="1"/>
  <c r="P198" i="1"/>
  <c r="AP197" i="1"/>
  <c r="AC197" i="1"/>
  <c r="P197" i="1"/>
  <c r="AM194" i="1"/>
  <c r="Z194" i="1"/>
  <c r="Y194" i="1"/>
  <c r="X194" i="1"/>
  <c r="W194" i="1"/>
  <c r="V194" i="1"/>
  <c r="U194" i="1"/>
  <c r="T194" i="1"/>
  <c r="S194" i="1"/>
  <c r="R194" i="1"/>
  <c r="Q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AO193" i="1"/>
  <c r="AO194" i="1" s="1"/>
  <c r="AN193" i="1"/>
  <c r="AN194" i="1" s="1"/>
  <c r="AM193" i="1"/>
  <c r="AL193" i="1"/>
  <c r="AL194" i="1" s="1"/>
  <c r="AK193" i="1"/>
  <c r="AK194" i="1" s="1"/>
  <c r="AJ193" i="1"/>
  <c r="AJ194" i="1" s="1"/>
  <c r="AI193" i="1"/>
  <c r="AI194" i="1" s="1"/>
  <c r="AH193" i="1"/>
  <c r="AH194" i="1" s="1"/>
  <c r="AG193" i="1"/>
  <c r="AG194" i="1" s="1"/>
  <c r="AF193" i="1"/>
  <c r="AF194" i="1" s="1"/>
  <c r="AE193" i="1"/>
  <c r="AE194" i="1" s="1"/>
  <c r="AD193" i="1"/>
  <c r="AD194" i="1" s="1"/>
  <c r="AB193" i="1"/>
  <c r="AB194" i="1" s="1"/>
  <c r="AA193" i="1"/>
  <c r="AA194" i="1" s="1"/>
  <c r="P193" i="1"/>
  <c r="AP192" i="1"/>
  <c r="AC192" i="1"/>
  <c r="P192" i="1"/>
  <c r="AP191" i="1"/>
  <c r="AC191" i="1"/>
  <c r="P191" i="1"/>
  <c r="AJ188" i="1"/>
  <c r="AO187" i="1"/>
  <c r="AO188" i="1" s="1"/>
  <c r="AN187" i="1"/>
  <c r="AN188" i="1" s="1"/>
  <c r="AM187" i="1"/>
  <c r="AM188" i="1" s="1"/>
  <c r="AL187" i="1"/>
  <c r="AL188" i="1" s="1"/>
  <c r="AK187" i="1"/>
  <c r="AK188" i="1" s="1"/>
  <c r="AJ187" i="1"/>
  <c r="AI187" i="1"/>
  <c r="AI188" i="1" s="1"/>
  <c r="AH187" i="1"/>
  <c r="AH188" i="1" s="1"/>
  <c r="AG187" i="1"/>
  <c r="AG188" i="1" s="1"/>
  <c r="AF187" i="1"/>
  <c r="AF188" i="1" s="1"/>
  <c r="AE187" i="1"/>
  <c r="AE188" i="1" s="1"/>
  <c r="AD187" i="1"/>
  <c r="AD188" i="1" s="1"/>
  <c r="AB187" i="1"/>
  <c r="AB188" i="1" s="1"/>
  <c r="AA187" i="1"/>
  <c r="AA188" i="1" s="1"/>
  <c r="Z187" i="1"/>
  <c r="Z188" i="1" s="1"/>
  <c r="Y187" i="1"/>
  <c r="Y188" i="1" s="1"/>
  <c r="X187" i="1"/>
  <c r="X188" i="1" s="1"/>
  <c r="W187" i="1"/>
  <c r="W188" i="1" s="1"/>
  <c r="V187" i="1"/>
  <c r="V188" i="1" s="1"/>
  <c r="U187" i="1"/>
  <c r="U188" i="1" s="1"/>
  <c r="T187" i="1"/>
  <c r="T188" i="1" s="1"/>
  <c r="S187" i="1"/>
  <c r="S188" i="1" s="1"/>
  <c r="R187" i="1"/>
  <c r="R188" i="1" s="1"/>
  <c r="Q187" i="1"/>
  <c r="Q188" i="1" s="1"/>
  <c r="O187" i="1"/>
  <c r="O188" i="1" s="1"/>
  <c r="N187" i="1"/>
  <c r="N188" i="1" s="1"/>
  <c r="M187" i="1"/>
  <c r="M188" i="1" s="1"/>
  <c r="L187" i="1"/>
  <c r="L188" i="1" s="1"/>
  <c r="K187" i="1"/>
  <c r="K188" i="1" s="1"/>
  <c r="J187" i="1"/>
  <c r="J188" i="1" s="1"/>
  <c r="I187" i="1"/>
  <c r="I188" i="1" s="1"/>
  <c r="H187" i="1"/>
  <c r="H188" i="1" s="1"/>
  <c r="G187" i="1"/>
  <c r="G188" i="1" s="1"/>
  <c r="F187" i="1"/>
  <c r="F188" i="1" s="1"/>
  <c r="E187" i="1"/>
  <c r="E188" i="1" s="1"/>
  <c r="D187" i="1"/>
  <c r="D188" i="1" s="1"/>
  <c r="AP186" i="1"/>
  <c r="AC186" i="1"/>
  <c r="P186" i="1"/>
  <c r="AP185" i="1"/>
  <c r="AC185" i="1"/>
  <c r="P185" i="1"/>
  <c r="AO181" i="1"/>
  <c r="AO182" i="1" s="1"/>
  <c r="AN181" i="1"/>
  <c r="AN182" i="1" s="1"/>
  <c r="AM181" i="1"/>
  <c r="AM182" i="1" s="1"/>
  <c r="AL181" i="1"/>
  <c r="AL182" i="1" s="1"/>
  <c r="AK181" i="1"/>
  <c r="AK182" i="1" s="1"/>
  <c r="AJ181" i="1"/>
  <c r="AJ182" i="1" s="1"/>
  <c r="AI181" i="1"/>
  <c r="AI182" i="1" s="1"/>
  <c r="AH181" i="1"/>
  <c r="AH182" i="1" s="1"/>
  <c r="AG181" i="1"/>
  <c r="AG182" i="1" s="1"/>
  <c r="AF181" i="1"/>
  <c r="AF182" i="1" s="1"/>
  <c r="AE181" i="1"/>
  <c r="AE182" i="1" s="1"/>
  <c r="AD181" i="1"/>
  <c r="AD182" i="1" s="1"/>
  <c r="AB181" i="1"/>
  <c r="AB182" i="1" s="1"/>
  <c r="AA181" i="1"/>
  <c r="AA182" i="1" s="1"/>
  <c r="Z181" i="1"/>
  <c r="Z182" i="1" s="1"/>
  <c r="Y181" i="1"/>
  <c r="Y182" i="1" s="1"/>
  <c r="X181" i="1"/>
  <c r="X182" i="1" s="1"/>
  <c r="W181" i="1"/>
  <c r="W182" i="1" s="1"/>
  <c r="V181" i="1"/>
  <c r="V182" i="1" s="1"/>
  <c r="U181" i="1"/>
  <c r="U182" i="1" s="1"/>
  <c r="T181" i="1"/>
  <c r="T182" i="1" s="1"/>
  <c r="S181" i="1"/>
  <c r="S182" i="1" s="1"/>
  <c r="R181" i="1"/>
  <c r="R182" i="1" s="1"/>
  <c r="Q181" i="1"/>
  <c r="Q182" i="1" s="1"/>
  <c r="O181" i="1"/>
  <c r="O182" i="1" s="1"/>
  <c r="N181" i="1"/>
  <c r="N182" i="1" s="1"/>
  <c r="M181" i="1"/>
  <c r="M182" i="1" s="1"/>
  <c r="L181" i="1"/>
  <c r="L182" i="1" s="1"/>
  <c r="K181" i="1"/>
  <c r="K182" i="1" s="1"/>
  <c r="J181" i="1"/>
  <c r="J182" i="1" s="1"/>
  <c r="I181" i="1"/>
  <c r="I182" i="1" s="1"/>
  <c r="H181" i="1"/>
  <c r="H182" i="1" s="1"/>
  <c r="G181" i="1"/>
  <c r="G182" i="1" s="1"/>
  <c r="F181" i="1"/>
  <c r="F182" i="1" s="1"/>
  <c r="E181" i="1"/>
  <c r="E182" i="1" s="1"/>
  <c r="D181" i="1"/>
  <c r="D182" i="1" s="1"/>
  <c r="AP180" i="1"/>
  <c r="AC180" i="1"/>
  <c r="P180" i="1"/>
  <c r="AP179" i="1"/>
  <c r="AC179" i="1"/>
  <c r="P179" i="1"/>
  <c r="AO175" i="1"/>
  <c r="AO176" i="1" s="1"/>
  <c r="AN175" i="1"/>
  <c r="AN176" i="1" s="1"/>
  <c r="AM175" i="1"/>
  <c r="AM176" i="1" s="1"/>
  <c r="AL175" i="1"/>
  <c r="AL176" i="1" s="1"/>
  <c r="AK175" i="1"/>
  <c r="AK176" i="1" s="1"/>
  <c r="AJ175" i="1"/>
  <c r="AJ176" i="1" s="1"/>
  <c r="AI175" i="1"/>
  <c r="AI176" i="1" s="1"/>
  <c r="AH175" i="1"/>
  <c r="AH176" i="1" s="1"/>
  <c r="AG175" i="1"/>
  <c r="AG176" i="1" s="1"/>
  <c r="AF175" i="1"/>
  <c r="AF176" i="1" s="1"/>
  <c r="AE175" i="1"/>
  <c r="AE176" i="1" s="1"/>
  <c r="AD175" i="1"/>
  <c r="AD176" i="1" s="1"/>
  <c r="AB175" i="1"/>
  <c r="AB176" i="1" s="1"/>
  <c r="AA175" i="1"/>
  <c r="AA176" i="1" s="1"/>
  <c r="Z175" i="1"/>
  <c r="Z176" i="1" s="1"/>
  <c r="Y175" i="1"/>
  <c r="Y176" i="1" s="1"/>
  <c r="X175" i="1"/>
  <c r="X176" i="1" s="1"/>
  <c r="W175" i="1"/>
  <c r="W176" i="1" s="1"/>
  <c r="V175" i="1"/>
  <c r="V176" i="1" s="1"/>
  <c r="U175" i="1"/>
  <c r="U176" i="1" s="1"/>
  <c r="T175" i="1"/>
  <c r="T176" i="1" s="1"/>
  <c r="S175" i="1"/>
  <c r="S176" i="1" s="1"/>
  <c r="R175" i="1"/>
  <c r="R176" i="1" s="1"/>
  <c r="Q175" i="1"/>
  <c r="Q176" i="1" s="1"/>
  <c r="O175" i="1"/>
  <c r="O176" i="1" s="1"/>
  <c r="N175" i="1"/>
  <c r="N176" i="1" s="1"/>
  <c r="M175" i="1"/>
  <c r="M176" i="1" s="1"/>
  <c r="L175" i="1"/>
  <c r="L176" i="1" s="1"/>
  <c r="K175" i="1"/>
  <c r="K176" i="1" s="1"/>
  <c r="J175" i="1"/>
  <c r="J176" i="1" s="1"/>
  <c r="I175" i="1"/>
  <c r="I176" i="1" s="1"/>
  <c r="H175" i="1"/>
  <c r="H176" i="1" s="1"/>
  <c r="G175" i="1"/>
  <c r="G176" i="1" s="1"/>
  <c r="F175" i="1"/>
  <c r="F176" i="1" s="1"/>
  <c r="E175" i="1"/>
  <c r="E176" i="1" s="1"/>
  <c r="D175" i="1"/>
  <c r="AP174" i="1"/>
  <c r="AC174" i="1"/>
  <c r="P174" i="1"/>
  <c r="AP173" i="1"/>
  <c r="AC173" i="1"/>
  <c r="P173" i="1"/>
  <c r="O170" i="1"/>
  <c r="H170" i="1"/>
  <c r="N169" i="1"/>
  <c r="N170" i="1" s="1"/>
  <c r="M169" i="1"/>
  <c r="M170" i="1" s="1"/>
  <c r="L169" i="1"/>
  <c r="L170" i="1" s="1"/>
  <c r="K169" i="1"/>
  <c r="K170" i="1" s="1"/>
  <c r="J169" i="1"/>
  <c r="J170" i="1" s="1"/>
  <c r="I169" i="1"/>
  <c r="I170" i="1" s="1"/>
  <c r="H169" i="1"/>
  <c r="G169" i="1"/>
  <c r="G170" i="1" s="1"/>
  <c r="F169" i="1"/>
  <c r="F170" i="1" s="1"/>
  <c r="E169" i="1"/>
  <c r="E170" i="1" s="1"/>
  <c r="D169" i="1"/>
  <c r="P168" i="1"/>
  <c r="P167" i="1"/>
  <c r="AL164" i="1"/>
  <c r="AO163" i="1"/>
  <c r="AO164" i="1" s="1"/>
  <c r="AN163" i="1"/>
  <c r="AN164" i="1" s="1"/>
  <c r="AM163" i="1"/>
  <c r="AM164" i="1" s="1"/>
  <c r="AL163" i="1"/>
  <c r="AK163" i="1"/>
  <c r="AK164" i="1" s="1"/>
  <c r="AJ163" i="1"/>
  <c r="AJ164" i="1" s="1"/>
  <c r="AI163" i="1"/>
  <c r="AI164" i="1" s="1"/>
  <c r="AH163" i="1"/>
  <c r="AH164" i="1" s="1"/>
  <c r="AG163" i="1"/>
  <c r="AG164" i="1" s="1"/>
  <c r="AF163" i="1"/>
  <c r="AF164" i="1" s="1"/>
  <c r="AE163" i="1"/>
  <c r="AE164" i="1" s="1"/>
  <c r="AD163" i="1"/>
  <c r="AD164" i="1" s="1"/>
  <c r="AB163" i="1"/>
  <c r="AB164" i="1" s="1"/>
  <c r="AA163" i="1"/>
  <c r="AA164" i="1" s="1"/>
  <c r="Z163" i="1"/>
  <c r="Z164" i="1" s="1"/>
  <c r="Y163" i="1"/>
  <c r="Y164" i="1" s="1"/>
  <c r="X163" i="1"/>
  <c r="X164" i="1" s="1"/>
  <c r="W163" i="1"/>
  <c r="W164" i="1" s="1"/>
  <c r="V163" i="1"/>
  <c r="V164" i="1" s="1"/>
  <c r="U163" i="1"/>
  <c r="U164" i="1" s="1"/>
  <c r="T163" i="1"/>
  <c r="T164" i="1" s="1"/>
  <c r="S163" i="1"/>
  <c r="S164" i="1" s="1"/>
  <c r="R163" i="1"/>
  <c r="R164" i="1" s="1"/>
  <c r="Q163" i="1"/>
  <c r="Q164" i="1" s="1"/>
  <c r="O163" i="1"/>
  <c r="O164" i="1" s="1"/>
  <c r="N163" i="1"/>
  <c r="N164" i="1" s="1"/>
  <c r="M163" i="1"/>
  <c r="M164" i="1" s="1"/>
  <c r="L163" i="1"/>
  <c r="L164" i="1" s="1"/>
  <c r="K163" i="1"/>
  <c r="K164" i="1" s="1"/>
  <c r="J163" i="1"/>
  <c r="J164" i="1" s="1"/>
  <c r="I163" i="1"/>
  <c r="I164" i="1" s="1"/>
  <c r="H163" i="1"/>
  <c r="H164" i="1" s="1"/>
  <c r="G163" i="1"/>
  <c r="G164" i="1" s="1"/>
  <c r="F163" i="1"/>
  <c r="F164" i="1" s="1"/>
  <c r="E163" i="1"/>
  <c r="E164" i="1" s="1"/>
  <c r="D163" i="1"/>
  <c r="AP162" i="1"/>
  <c r="AC162" i="1"/>
  <c r="P162" i="1"/>
  <c r="AP161" i="1"/>
  <c r="AC161" i="1"/>
  <c r="P161" i="1"/>
  <c r="AO157" i="1"/>
  <c r="AO158" i="1" s="1"/>
  <c r="AN157" i="1"/>
  <c r="AN158" i="1" s="1"/>
  <c r="AM157" i="1"/>
  <c r="AM158" i="1" s="1"/>
  <c r="AL157" i="1"/>
  <c r="AL158" i="1" s="1"/>
  <c r="AK157" i="1"/>
  <c r="AK158" i="1" s="1"/>
  <c r="AJ157" i="1"/>
  <c r="AJ158" i="1" s="1"/>
  <c r="AI157" i="1"/>
  <c r="AI158" i="1" s="1"/>
  <c r="AH157" i="1"/>
  <c r="AG157" i="1"/>
  <c r="AG158" i="1" s="1"/>
  <c r="AF157" i="1"/>
  <c r="AF158" i="1" s="1"/>
  <c r="AE157" i="1"/>
  <c r="AE158" i="1" s="1"/>
  <c r="AD157" i="1"/>
  <c r="AD158" i="1" s="1"/>
  <c r="AB157" i="1"/>
  <c r="AB158" i="1" s="1"/>
  <c r="AA157" i="1"/>
  <c r="AA158" i="1" s="1"/>
  <c r="Z157" i="1"/>
  <c r="Z158" i="1" s="1"/>
  <c r="Y157" i="1"/>
  <c r="Y158" i="1" s="1"/>
  <c r="X157" i="1"/>
  <c r="X158" i="1" s="1"/>
  <c r="W157" i="1"/>
  <c r="W158" i="1" s="1"/>
  <c r="V157" i="1"/>
  <c r="V158" i="1" s="1"/>
  <c r="U157" i="1"/>
  <c r="U158" i="1" s="1"/>
  <c r="T157" i="1"/>
  <c r="T158" i="1" s="1"/>
  <c r="S157" i="1"/>
  <c r="S158" i="1" s="1"/>
  <c r="R157" i="1"/>
  <c r="R158" i="1" s="1"/>
  <c r="Q157" i="1"/>
  <c r="O157" i="1"/>
  <c r="O158" i="1" s="1"/>
  <c r="N157" i="1"/>
  <c r="N158" i="1" s="1"/>
  <c r="M157" i="1"/>
  <c r="M158" i="1" s="1"/>
  <c r="L157" i="1"/>
  <c r="L158" i="1" s="1"/>
  <c r="K157" i="1"/>
  <c r="K158" i="1" s="1"/>
  <c r="J157" i="1"/>
  <c r="J158" i="1" s="1"/>
  <c r="I157" i="1"/>
  <c r="I158" i="1" s="1"/>
  <c r="H157" i="1"/>
  <c r="H158" i="1" s="1"/>
  <c r="G157" i="1"/>
  <c r="G158" i="1" s="1"/>
  <c r="F157" i="1"/>
  <c r="F158" i="1" s="1"/>
  <c r="E157" i="1"/>
  <c r="E158" i="1" s="1"/>
  <c r="D157" i="1"/>
  <c r="AP156" i="1"/>
  <c r="AC156" i="1"/>
  <c r="P156" i="1"/>
  <c r="AP155" i="1"/>
  <c r="AC155" i="1"/>
  <c r="P155" i="1"/>
  <c r="AO151" i="1"/>
  <c r="AO152" i="1" s="1"/>
  <c r="AN151" i="1"/>
  <c r="AN152" i="1" s="1"/>
  <c r="AM151" i="1"/>
  <c r="AM152" i="1" s="1"/>
  <c r="AL151" i="1"/>
  <c r="AL152" i="1" s="1"/>
  <c r="AK151" i="1"/>
  <c r="AK152" i="1" s="1"/>
  <c r="AJ151" i="1"/>
  <c r="AJ152" i="1" s="1"/>
  <c r="AI151" i="1"/>
  <c r="AI152" i="1" s="1"/>
  <c r="AH151" i="1"/>
  <c r="AH152" i="1" s="1"/>
  <c r="AG151" i="1"/>
  <c r="AG152" i="1" s="1"/>
  <c r="AF151" i="1"/>
  <c r="AF152" i="1" s="1"/>
  <c r="AE151" i="1"/>
  <c r="AE152" i="1" s="1"/>
  <c r="AD151" i="1"/>
  <c r="AB151" i="1"/>
  <c r="AB152" i="1" s="1"/>
  <c r="AA151" i="1"/>
  <c r="AA152" i="1" s="1"/>
  <c r="Z151" i="1"/>
  <c r="Z152" i="1" s="1"/>
  <c r="Y151" i="1"/>
  <c r="Y152" i="1" s="1"/>
  <c r="X151" i="1"/>
  <c r="X152" i="1" s="1"/>
  <c r="W151" i="1"/>
  <c r="W152" i="1" s="1"/>
  <c r="V151" i="1"/>
  <c r="V152" i="1" s="1"/>
  <c r="U151" i="1"/>
  <c r="U152" i="1" s="1"/>
  <c r="T151" i="1"/>
  <c r="T152" i="1" s="1"/>
  <c r="S151" i="1"/>
  <c r="S152" i="1" s="1"/>
  <c r="R151" i="1"/>
  <c r="R152" i="1" s="1"/>
  <c r="Q151" i="1"/>
  <c r="O151" i="1"/>
  <c r="O152" i="1" s="1"/>
  <c r="N151" i="1"/>
  <c r="N152" i="1" s="1"/>
  <c r="M151" i="1"/>
  <c r="M152" i="1" s="1"/>
  <c r="L151" i="1"/>
  <c r="L152" i="1" s="1"/>
  <c r="K151" i="1"/>
  <c r="K152" i="1" s="1"/>
  <c r="J151" i="1"/>
  <c r="J152" i="1" s="1"/>
  <c r="I151" i="1"/>
  <c r="I152" i="1" s="1"/>
  <c r="H151" i="1"/>
  <c r="H152" i="1" s="1"/>
  <c r="G151" i="1"/>
  <c r="G152" i="1" s="1"/>
  <c r="F151" i="1"/>
  <c r="F152" i="1" s="1"/>
  <c r="E151" i="1"/>
  <c r="E152" i="1" s="1"/>
  <c r="D151" i="1"/>
  <c r="D152" i="1" s="1"/>
  <c r="AP150" i="1"/>
  <c r="AC150" i="1"/>
  <c r="P150" i="1"/>
  <c r="AP149" i="1"/>
  <c r="AC149" i="1"/>
  <c r="P149" i="1"/>
  <c r="O146" i="1"/>
  <c r="N146" i="1"/>
  <c r="M146" i="1"/>
  <c r="L146" i="1"/>
  <c r="K146" i="1"/>
  <c r="J146" i="1"/>
  <c r="I145" i="1"/>
  <c r="I146" i="1" s="1"/>
  <c r="H145" i="1"/>
  <c r="H146" i="1" s="1"/>
  <c r="G145" i="1"/>
  <c r="G146" i="1" s="1"/>
  <c r="F145" i="1"/>
  <c r="F146" i="1" s="1"/>
  <c r="E145" i="1"/>
  <c r="E146" i="1" s="1"/>
  <c r="D145" i="1"/>
  <c r="D146" i="1" s="1"/>
  <c r="P144" i="1"/>
  <c r="P143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B140" i="1"/>
  <c r="AA140" i="1"/>
  <c r="Z140" i="1"/>
  <c r="Y140" i="1"/>
  <c r="X140" i="1"/>
  <c r="W140" i="1"/>
  <c r="V140" i="1"/>
  <c r="U140" i="1"/>
  <c r="K140" i="1"/>
  <c r="H140" i="1"/>
  <c r="G140" i="1"/>
  <c r="F140" i="1"/>
  <c r="E140" i="1"/>
  <c r="D140" i="1"/>
  <c r="AP139" i="1"/>
  <c r="T139" i="1"/>
  <c r="T140" i="1" s="1"/>
  <c r="S139" i="1"/>
  <c r="S140" i="1" s="1"/>
  <c r="R139" i="1"/>
  <c r="AC139" i="1" s="1"/>
  <c r="Q139" i="1"/>
  <c r="Q140" i="1" s="1"/>
  <c r="O139" i="1"/>
  <c r="O140" i="1" s="1"/>
  <c r="N139" i="1"/>
  <c r="N140" i="1" s="1"/>
  <c r="M139" i="1"/>
  <c r="M140" i="1" s="1"/>
  <c r="L139" i="1"/>
  <c r="L140" i="1" s="1"/>
  <c r="K139" i="1"/>
  <c r="J139" i="1"/>
  <c r="J140" i="1" s="1"/>
  <c r="I139" i="1"/>
  <c r="AP138" i="1"/>
  <c r="AC138" i="1"/>
  <c r="P138" i="1"/>
  <c r="AP137" i="1"/>
  <c r="AP140" i="1" s="1"/>
  <c r="AC137" i="1"/>
  <c r="P137" i="1"/>
  <c r="Z134" i="1"/>
  <c r="M134" i="1"/>
  <c r="J134" i="1"/>
  <c r="AO133" i="1"/>
  <c r="AO134" i="1" s="1"/>
  <c r="AN133" i="1"/>
  <c r="AN134" i="1" s="1"/>
  <c r="AM133" i="1"/>
  <c r="AM134" i="1" s="1"/>
  <c r="AL133" i="1"/>
  <c r="AL134" i="1" s="1"/>
  <c r="AK133" i="1"/>
  <c r="AK134" i="1" s="1"/>
  <c r="AJ133" i="1"/>
  <c r="AJ134" i="1" s="1"/>
  <c r="AI133" i="1"/>
  <c r="AI134" i="1" s="1"/>
  <c r="AH133" i="1"/>
  <c r="AH134" i="1" s="1"/>
  <c r="AG133" i="1"/>
  <c r="AG134" i="1" s="1"/>
  <c r="AF133" i="1"/>
  <c r="AF134" i="1" s="1"/>
  <c r="AE133" i="1"/>
  <c r="AE134" i="1" s="1"/>
  <c r="AD133" i="1"/>
  <c r="AD134" i="1" s="1"/>
  <c r="AB133" i="1"/>
  <c r="AB134" i="1" s="1"/>
  <c r="AA133" i="1"/>
  <c r="AA134" i="1" s="1"/>
  <c r="Z133" i="1"/>
  <c r="Y133" i="1"/>
  <c r="Y134" i="1" s="1"/>
  <c r="X133" i="1"/>
  <c r="X134" i="1" s="1"/>
  <c r="W133" i="1"/>
  <c r="W134" i="1" s="1"/>
  <c r="V133" i="1"/>
  <c r="V134" i="1" s="1"/>
  <c r="U133" i="1"/>
  <c r="U134" i="1" s="1"/>
  <c r="T133" i="1"/>
  <c r="S133" i="1"/>
  <c r="S134" i="1" s="1"/>
  <c r="R133" i="1"/>
  <c r="R134" i="1" s="1"/>
  <c r="Q133" i="1"/>
  <c r="Q134" i="1" s="1"/>
  <c r="O133" i="1"/>
  <c r="O134" i="1" s="1"/>
  <c r="N133" i="1"/>
  <c r="N134" i="1" s="1"/>
  <c r="M133" i="1"/>
  <c r="L133" i="1"/>
  <c r="L134" i="1" s="1"/>
  <c r="K133" i="1"/>
  <c r="K134" i="1" s="1"/>
  <c r="J133" i="1"/>
  <c r="I133" i="1"/>
  <c r="I134" i="1" s="1"/>
  <c r="H133" i="1"/>
  <c r="H134" i="1" s="1"/>
  <c r="G133" i="1"/>
  <c r="G134" i="1" s="1"/>
  <c r="F133" i="1"/>
  <c r="F134" i="1" s="1"/>
  <c r="E133" i="1"/>
  <c r="E134" i="1" s="1"/>
  <c r="D133" i="1"/>
  <c r="AP132" i="1"/>
  <c r="AC132" i="1"/>
  <c r="P132" i="1"/>
  <c r="AP131" i="1"/>
  <c r="AC131" i="1"/>
  <c r="P131" i="1"/>
  <c r="AA128" i="1"/>
  <c r="AO127" i="1"/>
  <c r="AO128" i="1" s="1"/>
  <c r="AN127" i="1"/>
  <c r="AN128" i="1" s="1"/>
  <c r="AM127" i="1"/>
  <c r="AM128" i="1" s="1"/>
  <c r="AL127" i="1"/>
  <c r="AL128" i="1" s="1"/>
  <c r="AK127" i="1"/>
  <c r="AK128" i="1" s="1"/>
  <c r="AJ127" i="1"/>
  <c r="AJ128" i="1" s="1"/>
  <c r="AI127" i="1"/>
  <c r="AI128" i="1" s="1"/>
  <c r="AH127" i="1"/>
  <c r="AH128" i="1" s="1"/>
  <c r="AG127" i="1"/>
  <c r="AG128" i="1" s="1"/>
  <c r="AF127" i="1"/>
  <c r="AF128" i="1" s="1"/>
  <c r="AE127" i="1"/>
  <c r="AD127" i="1"/>
  <c r="AD128" i="1" s="1"/>
  <c r="AB127" i="1"/>
  <c r="AB128" i="1" s="1"/>
  <c r="AA127" i="1"/>
  <c r="Z127" i="1"/>
  <c r="Z128" i="1" s="1"/>
  <c r="Y127" i="1"/>
  <c r="Y128" i="1" s="1"/>
  <c r="X127" i="1"/>
  <c r="X128" i="1" s="1"/>
  <c r="W127" i="1"/>
  <c r="W128" i="1" s="1"/>
  <c r="V127" i="1"/>
  <c r="V128" i="1" s="1"/>
  <c r="U127" i="1"/>
  <c r="U128" i="1" s="1"/>
  <c r="T127" i="1"/>
  <c r="T128" i="1" s="1"/>
  <c r="S127" i="1"/>
  <c r="S128" i="1" s="1"/>
  <c r="R127" i="1"/>
  <c r="R128" i="1" s="1"/>
  <c r="Q127" i="1"/>
  <c r="O127" i="1"/>
  <c r="O128" i="1" s="1"/>
  <c r="N127" i="1"/>
  <c r="N128" i="1" s="1"/>
  <c r="M127" i="1"/>
  <c r="M128" i="1" s="1"/>
  <c r="L127" i="1"/>
  <c r="L128" i="1" s="1"/>
  <c r="K127" i="1"/>
  <c r="K128" i="1" s="1"/>
  <c r="J127" i="1"/>
  <c r="J128" i="1" s="1"/>
  <c r="I127" i="1"/>
  <c r="I128" i="1" s="1"/>
  <c r="H127" i="1"/>
  <c r="H128" i="1" s="1"/>
  <c r="G127" i="1"/>
  <c r="G128" i="1" s="1"/>
  <c r="F127" i="1"/>
  <c r="F128" i="1" s="1"/>
  <c r="E127" i="1"/>
  <c r="E128" i="1" s="1"/>
  <c r="D127" i="1"/>
  <c r="AP126" i="1"/>
  <c r="AC126" i="1"/>
  <c r="P126" i="1"/>
  <c r="AP125" i="1"/>
  <c r="AC125" i="1"/>
  <c r="P125" i="1"/>
  <c r="AO121" i="1"/>
  <c r="AO122" i="1" s="1"/>
  <c r="AN121" i="1"/>
  <c r="AN122" i="1" s="1"/>
  <c r="AM121" i="1"/>
  <c r="AM122" i="1" s="1"/>
  <c r="AL121" i="1"/>
  <c r="AL122" i="1" s="1"/>
  <c r="AK121" i="1"/>
  <c r="AK122" i="1" s="1"/>
  <c r="AJ121" i="1"/>
  <c r="AJ122" i="1" s="1"/>
  <c r="AI121" i="1"/>
  <c r="AI122" i="1" s="1"/>
  <c r="AH121" i="1"/>
  <c r="AH122" i="1" s="1"/>
  <c r="AG121" i="1"/>
  <c r="AG122" i="1" s="1"/>
  <c r="AF121" i="1"/>
  <c r="AF122" i="1" s="1"/>
  <c r="AE121" i="1"/>
  <c r="AE122" i="1" s="1"/>
  <c r="AD121" i="1"/>
  <c r="AB121" i="1"/>
  <c r="AB122" i="1" s="1"/>
  <c r="AA121" i="1"/>
  <c r="AA122" i="1" s="1"/>
  <c r="Z121" i="1"/>
  <c r="Z122" i="1" s="1"/>
  <c r="Y121" i="1"/>
  <c r="Y122" i="1" s="1"/>
  <c r="X121" i="1"/>
  <c r="X122" i="1" s="1"/>
  <c r="W121" i="1"/>
  <c r="W122" i="1" s="1"/>
  <c r="V121" i="1"/>
  <c r="V122" i="1" s="1"/>
  <c r="U121" i="1"/>
  <c r="U122" i="1" s="1"/>
  <c r="T121" i="1"/>
  <c r="T122" i="1" s="1"/>
  <c r="S121" i="1"/>
  <c r="S122" i="1" s="1"/>
  <c r="R121" i="1"/>
  <c r="R122" i="1" s="1"/>
  <c r="Q121" i="1"/>
  <c r="O121" i="1"/>
  <c r="O122" i="1" s="1"/>
  <c r="N121" i="1"/>
  <c r="N122" i="1" s="1"/>
  <c r="M121" i="1"/>
  <c r="M122" i="1" s="1"/>
  <c r="L121" i="1"/>
  <c r="L122" i="1" s="1"/>
  <c r="K121" i="1"/>
  <c r="K122" i="1" s="1"/>
  <c r="J121" i="1"/>
  <c r="J122" i="1" s="1"/>
  <c r="I121" i="1"/>
  <c r="I122" i="1" s="1"/>
  <c r="H121" i="1"/>
  <c r="H122" i="1" s="1"/>
  <c r="G121" i="1"/>
  <c r="G122" i="1" s="1"/>
  <c r="F121" i="1"/>
  <c r="F122" i="1" s="1"/>
  <c r="E121" i="1"/>
  <c r="E122" i="1" s="1"/>
  <c r="D121" i="1"/>
  <c r="AP120" i="1"/>
  <c r="AC120" i="1"/>
  <c r="P120" i="1"/>
  <c r="AP119" i="1"/>
  <c r="AC119" i="1"/>
  <c r="P119" i="1"/>
  <c r="AO115" i="1"/>
  <c r="AO116" i="1" s="1"/>
  <c r="AN115" i="1"/>
  <c r="AN116" i="1" s="1"/>
  <c r="AM115" i="1"/>
  <c r="AM116" i="1" s="1"/>
  <c r="AL115" i="1"/>
  <c r="AL116" i="1" s="1"/>
  <c r="AK115" i="1"/>
  <c r="AK116" i="1" s="1"/>
  <c r="AJ115" i="1"/>
  <c r="AJ116" i="1" s="1"/>
  <c r="AI115" i="1"/>
  <c r="AI116" i="1" s="1"/>
  <c r="AH115" i="1"/>
  <c r="AH116" i="1" s="1"/>
  <c r="AG115" i="1"/>
  <c r="AG116" i="1" s="1"/>
  <c r="AF115" i="1"/>
  <c r="AF116" i="1" s="1"/>
  <c r="AE115" i="1"/>
  <c r="AE116" i="1" s="1"/>
  <c r="AD115" i="1"/>
  <c r="AB115" i="1"/>
  <c r="AB116" i="1" s="1"/>
  <c r="AA115" i="1"/>
  <c r="AA116" i="1" s="1"/>
  <c r="Z115" i="1"/>
  <c r="Z116" i="1" s="1"/>
  <c r="Y115" i="1"/>
  <c r="Y116" i="1" s="1"/>
  <c r="X115" i="1"/>
  <c r="X116" i="1" s="1"/>
  <c r="W115" i="1"/>
  <c r="W116" i="1" s="1"/>
  <c r="V115" i="1"/>
  <c r="V116" i="1" s="1"/>
  <c r="U115" i="1"/>
  <c r="U116" i="1" s="1"/>
  <c r="T115" i="1"/>
  <c r="T116" i="1" s="1"/>
  <c r="S115" i="1"/>
  <c r="S116" i="1" s="1"/>
  <c r="R115" i="1"/>
  <c r="R116" i="1" s="1"/>
  <c r="Q115" i="1"/>
  <c r="O115" i="1"/>
  <c r="O116" i="1" s="1"/>
  <c r="N115" i="1"/>
  <c r="N116" i="1" s="1"/>
  <c r="M115" i="1"/>
  <c r="M116" i="1" s="1"/>
  <c r="L115" i="1"/>
  <c r="L116" i="1" s="1"/>
  <c r="K115" i="1"/>
  <c r="K116" i="1" s="1"/>
  <c r="J115" i="1"/>
  <c r="J116" i="1" s="1"/>
  <c r="I115" i="1"/>
  <c r="I116" i="1" s="1"/>
  <c r="H115" i="1"/>
  <c r="H116" i="1" s="1"/>
  <c r="G115" i="1"/>
  <c r="G116" i="1" s="1"/>
  <c r="F115" i="1"/>
  <c r="F116" i="1" s="1"/>
  <c r="E115" i="1"/>
  <c r="E116" i="1" s="1"/>
  <c r="D115" i="1"/>
  <c r="AP114" i="1"/>
  <c r="AC114" i="1"/>
  <c r="P114" i="1"/>
  <c r="AP113" i="1"/>
  <c r="AC113" i="1"/>
  <c r="P113" i="1"/>
  <c r="AO110" i="1"/>
  <c r="AN110" i="1"/>
  <c r="AM109" i="1"/>
  <c r="AM110" i="1" s="1"/>
  <c r="AL109" i="1"/>
  <c r="AL110" i="1" s="1"/>
  <c r="AK109" i="1"/>
  <c r="AK110" i="1" s="1"/>
  <c r="AJ109" i="1"/>
  <c r="AJ110" i="1" s="1"/>
  <c r="AI109" i="1"/>
  <c r="AI110" i="1" s="1"/>
  <c r="AH109" i="1"/>
  <c r="AH110" i="1" s="1"/>
  <c r="AG109" i="1"/>
  <c r="AG110" i="1" s="1"/>
  <c r="AF109" i="1"/>
  <c r="AF110" i="1" s="1"/>
  <c r="AE109" i="1"/>
  <c r="AE110" i="1" s="1"/>
  <c r="AD109" i="1"/>
  <c r="AD110" i="1" s="1"/>
  <c r="AB109" i="1"/>
  <c r="AB110" i="1" s="1"/>
  <c r="AA109" i="1"/>
  <c r="AA110" i="1" s="1"/>
  <c r="Z109" i="1"/>
  <c r="Z110" i="1" s="1"/>
  <c r="Y109" i="1"/>
  <c r="Y110" i="1" s="1"/>
  <c r="X109" i="1"/>
  <c r="X110" i="1" s="1"/>
  <c r="W109" i="1"/>
  <c r="W110" i="1" s="1"/>
  <c r="V109" i="1"/>
  <c r="V110" i="1" s="1"/>
  <c r="U109" i="1"/>
  <c r="U110" i="1" s="1"/>
  <c r="T109" i="1"/>
  <c r="T110" i="1" s="1"/>
  <c r="S109" i="1"/>
  <c r="S110" i="1" s="1"/>
  <c r="R109" i="1"/>
  <c r="R110" i="1" s="1"/>
  <c r="Q109" i="1"/>
  <c r="Q110" i="1" s="1"/>
  <c r="O109" i="1"/>
  <c r="O110" i="1" s="1"/>
  <c r="N109" i="1"/>
  <c r="N110" i="1" s="1"/>
  <c r="M109" i="1"/>
  <c r="M110" i="1" s="1"/>
  <c r="L109" i="1"/>
  <c r="L110" i="1" s="1"/>
  <c r="K109" i="1"/>
  <c r="K110" i="1" s="1"/>
  <c r="J109" i="1"/>
  <c r="J110" i="1" s="1"/>
  <c r="I109" i="1"/>
  <c r="I110" i="1" s="1"/>
  <c r="H109" i="1"/>
  <c r="H110" i="1" s="1"/>
  <c r="G109" i="1"/>
  <c r="G110" i="1" s="1"/>
  <c r="F109" i="1"/>
  <c r="F110" i="1" s="1"/>
  <c r="E109" i="1"/>
  <c r="E110" i="1" s="1"/>
  <c r="D109" i="1"/>
  <c r="AP108" i="1"/>
  <c r="AC108" i="1"/>
  <c r="P108" i="1"/>
  <c r="AP107" i="1"/>
  <c r="AC107" i="1"/>
  <c r="P107" i="1"/>
  <c r="M104" i="1"/>
  <c r="K104" i="1"/>
  <c r="AO103" i="1"/>
  <c r="AO104" i="1" s="1"/>
  <c r="AN103" i="1"/>
  <c r="AN104" i="1" s="1"/>
  <c r="AM103" i="1"/>
  <c r="AM104" i="1" s="1"/>
  <c r="AL103" i="1"/>
  <c r="AL104" i="1" s="1"/>
  <c r="AK103" i="1"/>
  <c r="AK104" i="1" s="1"/>
  <c r="AJ103" i="1"/>
  <c r="AJ104" i="1" s="1"/>
  <c r="AI103" i="1"/>
  <c r="AI104" i="1" s="1"/>
  <c r="AH103" i="1"/>
  <c r="AH104" i="1" s="1"/>
  <c r="AG103" i="1"/>
  <c r="AG104" i="1" s="1"/>
  <c r="AF103" i="1"/>
  <c r="AF104" i="1" s="1"/>
  <c r="AE103" i="1"/>
  <c r="AE104" i="1" s="1"/>
  <c r="AD103" i="1"/>
  <c r="AD104" i="1" s="1"/>
  <c r="AB103" i="1"/>
  <c r="AB104" i="1" s="1"/>
  <c r="AA103" i="1"/>
  <c r="AA104" i="1" s="1"/>
  <c r="Z103" i="1"/>
  <c r="Z104" i="1" s="1"/>
  <c r="Y103" i="1"/>
  <c r="Y104" i="1" s="1"/>
  <c r="X103" i="1"/>
  <c r="X104" i="1" s="1"/>
  <c r="W103" i="1"/>
  <c r="W104" i="1" s="1"/>
  <c r="V103" i="1"/>
  <c r="V104" i="1" s="1"/>
  <c r="U103" i="1"/>
  <c r="U104" i="1" s="1"/>
  <c r="T103" i="1"/>
  <c r="T104" i="1" s="1"/>
  <c r="S103" i="1"/>
  <c r="S104" i="1" s="1"/>
  <c r="R103" i="1"/>
  <c r="R104" i="1" s="1"/>
  <c r="Q103" i="1"/>
  <c r="Q104" i="1" s="1"/>
  <c r="O103" i="1"/>
  <c r="O104" i="1" s="1"/>
  <c r="N103" i="1"/>
  <c r="N104" i="1" s="1"/>
  <c r="M103" i="1"/>
  <c r="L103" i="1"/>
  <c r="L104" i="1" s="1"/>
  <c r="K103" i="1"/>
  <c r="J103" i="1"/>
  <c r="J104" i="1" s="1"/>
  <c r="I103" i="1"/>
  <c r="I104" i="1" s="1"/>
  <c r="H103" i="1"/>
  <c r="H104" i="1" s="1"/>
  <c r="G103" i="1"/>
  <c r="G104" i="1" s="1"/>
  <c r="F103" i="1"/>
  <c r="F104" i="1" s="1"/>
  <c r="E103" i="1"/>
  <c r="E104" i="1" s="1"/>
  <c r="D103" i="1"/>
  <c r="AP102" i="1"/>
  <c r="AC102" i="1"/>
  <c r="P102" i="1"/>
  <c r="AP101" i="1"/>
  <c r="AC101" i="1"/>
  <c r="P101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A98" i="1"/>
  <c r="Z98" i="1"/>
  <c r="Y98" i="1"/>
  <c r="X98" i="1"/>
  <c r="W98" i="1"/>
  <c r="V98" i="1"/>
  <c r="U98" i="1"/>
  <c r="T98" i="1"/>
  <c r="S98" i="1"/>
  <c r="R98" i="1"/>
  <c r="Q98" i="1"/>
  <c r="AP97" i="1"/>
  <c r="AB97" i="1"/>
  <c r="AB98" i="1" s="1"/>
  <c r="O97" i="1"/>
  <c r="O98" i="1" s="1"/>
  <c r="N97" i="1"/>
  <c r="N98" i="1" s="1"/>
  <c r="M97" i="1"/>
  <c r="M98" i="1" s="1"/>
  <c r="L97" i="1"/>
  <c r="L98" i="1" s="1"/>
  <c r="K97" i="1"/>
  <c r="K98" i="1" s="1"/>
  <c r="J97" i="1"/>
  <c r="J98" i="1" s="1"/>
  <c r="I97" i="1"/>
  <c r="I98" i="1" s="1"/>
  <c r="H97" i="1"/>
  <c r="H98" i="1" s="1"/>
  <c r="G97" i="1"/>
  <c r="G98" i="1" s="1"/>
  <c r="F97" i="1"/>
  <c r="F98" i="1" s="1"/>
  <c r="E97" i="1"/>
  <c r="E98" i="1" s="1"/>
  <c r="D97" i="1"/>
  <c r="D98" i="1" s="1"/>
  <c r="C97" i="1"/>
  <c r="C103" i="1" s="1"/>
  <c r="C109" i="1" s="1"/>
  <c r="C115" i="1" s="1"/>
  <c r="C121" i="1" s="1"/>
  <c r="AP96" i="1"/>
  <c r="AC96" i="1"/>
  <c r="P96" i="1"/>
  <c r="C96" i="1"/>
  <c r="C102" i="1" s="1"/>
  <c r="C108" i="1" s="1"/>
  <c r="C114" i="1" s="1"/>
  <c r="C120" i="1" s="1"/>
  <c r="AP95" i="1"/>
  <c r="AC95" i="1"/>
  <c r="P95" i="1"/>
  <c r="C95" i="1"/>
  <c r="C101" i="1" s="1"/>
  <c r="C107" i="1" s="1"/>
  <c r="C113" i="1" s="1"/>
  <c r="C119" i="1" s="1"/>
  <c r="AF92" i="1"/>
  <c r="H92" i="1"/>
  <c r="AO91" i="1"/>
  <c r="AO92" i="1" s="1"/>
  <c r="AN91" i="1"/>
  <c r="AN92" i="1" s="1"/>
  <c r="AM91" i="1"/>
  <c r="AM92" i="1" s="1"/>
  <c r="AL91" i="1"/>
  <c r="AL92" i="1" s="1"/>
  <c r="AK91" i="1"/>
  <c r="AK92" i="1" s="1"/>
  <c r="AJ91" i="1"/>
  <c r="AJ92" i="1" s="1"/>
  <c r="AI91" i="1"/>
  <c r="AI92" i="1" s="1"/>
  <c r="AH91" i="1"/>
  <c r="AH92" i="1" s="1"/>
  <c r="AG91" i="1"/>
  <c r="AG92" i="1" s="1"/>
  <c r="AF91" i="1"/>
  <c r="AE91" i="1"/>
  <c r="AE92" i="1" s="1"/>
  <c r="AD91" i="1"/>
  <c r="AD92" i="1" s="1"/>
  <c r="AB91" i="1"/>
  <c r="AB92" i="1" s="1"/>
  <c r="AA91" i="1"/>
  <c r="AA92" i="1" s="1"/>
  <c r="Z91" i="1"/>
  <c r="Z92" i="1" s="1"/>
  <c r="Y91" i="1"/>
  <c r="Y92" i="1" s="1"/>
  <c r="X91" i="1"/>
  <c r="X92" i="1" s="1"/>
  <c r="W91" i="1"/>
  <c r="W92" i="1" s="1"/>
  <c r="V91" i="1"/>
  <c r="V92" i="1" s="1"/>
  <c r="U91" i="1"/>
  <c r="U92" i="1" s="1"/>
  <c r="T91" i="1"/>
  <c r="T92" i="1" s="1"/>
  <c r="S91" i="1"/>
  <c r="S92" i="1" s="1"/>
  <c r="R91" i="1"/>
  <c r="R92" i="1" s="1"/>
  <c r="Q91" i="1"/>
  <c r="Q92" i="1" s="1"/>
  <c r="O91" i="1"/>
  <c r="O92" i="1" s="1"/>
  <c r="N91" i="1"/>
  <c r="N92" i="1" s="1"/>
  <c r="M91" i="1"/>
  <c r="M92" i="1" s="1"/>
  <c r="L91" i="1"/>
  <c r="L92" i="1" s="1"/>
  <c r="K91" i="1"/>
  <c r="K92" i="1" s="1"/>
  <c r="J91" i="1"/>
  <c r="J92" i="1" s="1"/>
  <c r="I91" i="1"/>
  <c r="I92" i="1" s="1"/>
  <c r="H91" i="1"/>
  <c r="G91" i="1"/>
  <c r="G92" i="1" s="1"/>
  <c r="F91" i="1"/>
  <c r="F92" i="1" s="1"/>
  <c r="E91" i="1"/>
  <c r="E92" i="1" s="1"/>
  <c r="D91" i="1"/>
  <c r="D92" i="1" s="1"/>
  <c r="AP90" i="1"/>
  <c r="AC90" i="1"/>
  <c r="P90" i="1"/>
  <c r="AP89" i="1"/>
  <c r="AC89" i="1"/>
  <c r="P89" i="1"/>
  <c r="O86" i="1"/>
  <c r="N86" i="1"/>
  <c r="M86" i="1"/>
  <c r="L86" i="1"/>
  <c r="K86" i="1"/>
  <c r="J86" i="1"/>
  <c r="I86" i="1"/>
  <c r="H86" i="1"/>
  <c r="G86" i="1"/>
  <c r="F86" i="1"/>
  <c r="E86" i="1"/>
  <c r="D86" i="1"/>
  <c r="AO85" i="1"/>
  <c r="AO86" i="1" s="1"/>
  <c r="AN85" i="1"/>
  <c r="AN86" i="1" s="1"/>
  <c r="AM85" i="1"/>
  <c r="AM86" i="1" s="1"/>
  <c r="AL85" i="1"/>
  <c r="AL86" i="1" s="1"/>
  <c r="AK85" i="1"/>
  <c r="AK86" i="1" s="1"/>
  <c r="AJ85" i="1"/>
  <c r="AJ86" i="1" s="1"/>
  <c r="AI85" i="1"/>
  <c r="AI86" i="1" s="1"/>
  <c r="AH85" i="1"/>
  <c r="AH86" i="1" s="1"/>
  <c r="AG85" i="1"/>
  <c r="AG86" i="1" s="1"/>
  <c r="AF85" i="1"/>
  <c r="AF86" i="1" s="1"/>
  <c r="AE85" i="1"/>
  <c r="AE86" i="1" s="1"/>
  <c r="AD85" i="1"/>
  <c r="AD86" i="1" s="1"/>
  <c r="AB85" i="1"/>
  <c r="AB86" i="1" s="1"/>
  <c r="AA85" i="1"/>
  <c r="AA86" i="1" s="1"/>
  <c r="Z85" i="1"/>
  <c r="Z86" i="1" s="1"/>
  <c r="Y85" i="1"/>
  <c r="Y86" i="1" s="1"/>
  <c r="X85" i="1"/>
  <c r="X86" i="1" s="1"/>
  <c r="W85" i="1"/>
  <c r="W86" i="1" s="1"/>
  <c r="V85" i="1"/>
  <c r="V86" i="1" s="1"/>
  <c r="U85" i="1"/>
  <c r="U86" i="1" s="1"/>
  <c r="T85" i="1"/>
  <c r="T86" i="1" s="1"/>
  <c r="S85" i="1"/>
  <c r="S86" i="1" s="1"/>
  <c r="R85" i="1"/>
  <c r="R86" i="1" s="1"/>
  <c r="Q85" i="1"/>
  <c r="Q86" i="1" s="1"/>
  <c r="P85" i="1"/>
  <c r="AP84" i="1"/>
  <c r="AC84" i="1"/>
  <c r="P84" i="1"/>
  <c r="AP83" i="1"/>
  <c r="AC83" i="1"/>
  <c r="P83" i="1"/>
  <c r="L80" i="1"/>
  <c r="J80" i="1"/>
  <c r="AO79" i="1"/>
  <c r="AO80" i="1" s="1"/>
  <c r="AN79" i="1"/>
  <c r="AN80" i="1" s="1"/>
  <c r="AM79" i="1"/>
  <c r="AM80" i="1" s="1"/>
  <c r="AL79" i="1"/>
  <c r="AL80" i="1" s="1"/>
  <c r="AK79" i="1"/>
  <c r="AK80" i="1" s="1"/>
  <c r="AJ79" i="1"/>
  <c r="AJ80" i="1" s="1"/>
  <c r="AI79" i="1"/>
  <c r="AI80" i="1" s="1"/>
  <c r="AH79" i="1"/>
  <c r="AH80" i="1" s="1"/>
  <c r="AG79" i="1"/>
  <c r="AG80" i="1" s="1"/>
  <c r="AF79" i="1"/>
  <c r="AF80" i="1" s="1"/>
  <c r="AE79" i="1"/>
  <c r="AE80" i="1" s="1"/>
  <c r="AD79" i="1"/>
  <c r="AB79" i="1"/>
  <c r="AB80" i="1" s="1"/>
  <c r="AA79" i="1"/>
  <c r="AA80" i="1" s="1"/>
  <c r="Z79" i="1"/>
  <c r="Z80" i="1" s="1"/>
  <c r="Y79" i="1"/>
  <c r="Y80" i="1" s="1"/>
  <c r="X79" i="1"/>
  <c r="X80" i="1" s="1"/>
  <c r="W79" i="1"/>
  <c r="W80" i="1" s="1"/>
  <c r="V79" i="1"/>
  <c r="V80" i="1" s="1"/>
  <c r="U79" i="1"/>
  <c r="U80" i="1" s="1"/>
  <c r="T79" i="1"/>
  <c r="T80" i="1" s="1"/>
  <c r="S79" i="1"/>
  <c r="S80" i="1" s="1"/>
  <c r="R79" i="1"/>
  <c r="R80" i="1" s="1"/>
  <c r="Q79" i="1"/>
  <c r="O79" i="1"/>
  <c r="O80" i="1" s="1"/>
  <c r="N79" i="1"/>
  <c r="N80" i="1" s="1"/>
  <c r="M79" i="1"/>
  <c r="M80" i="1" s="1"/>
  <c r="L79" i="1"/>
  <c r="K79" i="1"/>
  <c r="K80" i="1" s="1"/>
  <c r="J79" i="1"/>
  <c r="I79" i="1"/>
  <c r="I80" i="1" s="1"/>
  <c r="H79" i="1"/>
  <c r="H80" i="1" s="1"/>
  <c r="G79" i="1"/>
  <c r="G80" i="1" s="1"/>
  <c r="F79" i="1"/>
  <c r="F80" i="1" s="1"/>
  <c r="E79" i="1"/>
  <c r="E80" i="1" s="1"/>
  <c r="D79" i="1"/>
  <c r="D80" i="1" s="1"/>
  <c r="AP78" i="1"/>
  <c r="AC78" i="1"/>
  <c r="P78" i="1"/>
  <c r="AP77" i="1"/>
  <c r="AC77" i="1"/>
  <c r="P77" i="1"/>
  <c r="AO74" i="1"/>
  <c r="AO73" i="1"/>
  <c r="AN73" i="1"/>
  <c r="AN74" i="1" s="1"/>
  <c r="AM73" i="1"/>
  <c r="AM74" i="1" s="1"/>
  <c r="AL73" i="1"/>
  <c r="AL74" i="1" s="1"/>
  <c r="AK73" i="1"/>
  <c r="AK74" i="1" s="1"/>
  <c r="AJ73" i="1"/>
  <c r="AJ74" i="1" s="1"/>
  <c r="AI73" i="1"/>
  <c r="AI74" i="1" s="1"/>
  <c r="AH73" i="1"/>
  <c r="AH74" i="1" s="1"/>
  <c r="AG73" i="1"/>
  <c r="AG74" i="1" s="1"/>
  <c r="AF73" i="1"/>
  <c r="AF74" i="1" s="1"/>
  <c r="AE73" i="1"/>
  <c r="AE74" i="1" s="1"/>
  <c r="AD73" i="1"/>
  <c r="AB73" i="1"/>
  <c r="AB74" i="1" s="1"/>
  <c r="AA73" i="1"/>
  <c r="AA74" i="1" s="1"/>
  <c r="Z73" i="1"/>
  <c r="Z74" i="1" s="1"/>
  <c r="Y73" i="1"/>
  <c r="Y74" i="1" s="1"/>
  <c r="X73" i="1"/>
  <c r="X74" i="1" s="1"/>
  <c r="W73" i="1"/>
  <c r="W74" i="1" s="1"/>
  <c r="V73" i="1"/>
  <c r="V74" i="1" s="1"/>
  <c r="U73" i="1"/>
  <c r="U74" i="1" s="1"/>
  <c r="T73" i="1"/>
  <c r="T74" i="1" s="1"/>
  <c r="S73" i="1"/>
  <c r="S74" i="1" s="1"/>
  <c r="R73" i="1"/>
  <c r="R74" i="1" s="1"/>
  <c r="Q73" i="1"/>
  <c r="Q74" i="1" s="1"/>
  <c r="O73" i="1"/>
  <c r="O74" i="1" s="1"/>
  <c r="N73" i="1"/>
  <c r="N74" i="1" s="1"/>
  <c r="M73" i="1"/>
  <c r="M74" i="1" s="1"/>
  <c r="L73" i="1"/>
  <c r="L74" i="1" s="1"/>
  <c r="K73" i="1"/>
  <c r="K74" i="1" s="1"/>
  <c r="J73" i="1"/>
  <c r="J74" i="1" s="1"/>
  <c r="I73" i="1"/>
  <c r="I74" i="1" s="1"/>
  <c r="H73" i="1"/>
  <c r="H74" i="1" s="1"/>
  <c r="G73" i="1"/>
  <c r="G74" i="1" s="1"/>
  <c r="F73" i="1"/>
  <c r="F74" i="1" s="1"/>
  <c r="E73" i="1"/>
  <c r="E74" i="1" s="1"/>
  <c r="D73" i="1"/>
  <c r="D74" i="1" s="1"/>
  <c r="C73" i="1"/>
  <c r="AP72" i="1"/>
  <c r="AC72" i="1"/>
  <c r="P72" i="1"/>
  <c r="C72" i="1"/>
  <c r="AP71" i="1"/>
  <c r="AC71" i="1"/>
  <c r="P71" i="1"/>
  <c r="C71" i="1"/>
  <c r="W68" i="1"/>
  <c r="AO67" i="1"/>
  <c r="AO68" i="1" s="1"/>
  <c r="AN67" i="1"/>
  <c r="AN68" i="1" s="1"/>
  <c r="AM67" i="1"/>
  <c r="AM68" i="1" s="1"/>
  <c r="AL67" i="1"/>
  <c r="AL68" i="1" s="1"/>
  <c r="AK67" i="1"/>
  <c r="AK68" i="1" s="1"/>
  <c r="AJ67" i="1"/>
  <c r="AJ68" i="1" s="1"/>
  <c r="AI67" i="1"/>
  <c r="AI68" i="1" s="1"/>
  <c r="AH67" i="1"/>
  <c r="AH68" i="1" s="1"/>
  <c r="AG67" i="1"/>
  <c r="AG68" i="1" s="1"/>
  <c r="AF67" i="1"/>
  <c r="AF68" i="1" s="1"/>
  <c r="AE67" i="1"/>
  <c r="AE68" i="1" s="1"/>
  <c r="AD67" i="1"/>
  <c r="AB67" i="1"/>
  <c r="AB68" i="1" s="1"/>
  <c r="AA67" i="1"/>
  <c r="AA68" i="1" s="1"/>
  <c r="Z67" i="1"/>
  <c r="Z68" i="1" s="1"/>
  <c r="Y67" i="1"/>
  <c r="Y68" i="1" s="1"/>
  <c r="X67" i="1"/>
  <c r="X68" i="1" s="1"/>
  <c r="W67" i="1"/>
  <c r="V67" i="1"/>
  <c r="V68" i="1" s="1"/>
  <c r="U67" i="1"/>
  <c r="U68" i="1" s="1"/>
  <c r="T67" i="1"/>
  <c r="T68" i="1" s="1"/>
  <c r="S67" i="1"/>
  <c r="S68" i="1" s="1"/>
  <c r="R67" i="1"/>
  <c r="R68" i="1" s="1"/>
  <c r="Q67" i="1"/>
  <c r="Q68" i="1" s="1"/>
  <c r="O67" i="1"/>
  <c r="O68" i="1" s="1"/>
  <c r="N67" i="1"/>
  <c r="N68" i="1" s="1"/>
  <c r="M67" i="1"/>
  <c r="M68" i="1" s="1"/>
  <c r="L67" i="1"/>
  <c r="L68" i="1" s="1"/>
  <c r="K67" i="1"/>
  <c r="K68" i="1" s="1"/>
  <c r="J67" i="1"/>
  <c r="J68" i="1" s="1"/>
  <c r="I67" i="1"/>
  <c r="I68" i="1" s="1"/>
  <c r="H67" i="1"/>
  <c r="H68" i="1" s="1"/>
  <c r="G67" i="1"/>
  <c r="G68" i="1" s="1"/>
  <c r="F67" i="1"/>
  <c r="F68" i="1" s="1"/>
  <c r="E67" i="1"/>
  <c r="E68" i="1" s="1"/>
  <c r="D67" i="1"/>
  <c r="D68" i="1" s="1"/>
  <c r="AP66" i="1"/>
  <c r="AC66" i="1"/>
  <c r="P66" i="1"/>
  <c r="AP65" i="1"/>
  <c r="AC65" i="1"/>
  <c r="P65" i="1"/>
  <c r="AB62" i="1"/>
  <c r="AA61" i="1"/>
  <c r="AA62" i="1" s="1"/>
  <c r="Z61" i="1"/>
  <c r="Z62" i="1" s="1"/>
  <c r="Y61" i="1"/>
  <c r="Y62" i="1" s="1"/>
  <c r="X61" i="1"/>
  <c r="X62" i="1" s="1"/>
  <c r="W61" i="1"/>
  <c r="W62" i="1" s="1"/>
  <c r="V61" i="1"/>
  <c r="V62" i="1" s="1"/>
  <c r="U61" i="1"/>
  <c r="U62" i="1" s="1"/>
  <c r="T61" i="1"/>
  <c r="T62" i="1" s="1"/>
  <c r="S61" i="1"/>
  <c r="S62" i="1" s="1"/>
  <c r="R61" i="1"/>
  <c r="R62" i="1" s="1"/>
  <c r="Q61" i="1"/>
  <c r="Q62" i="1" s="1"/>
  <c r="O61" i="1"/>
  <c r="O62" i="1" s="1"/>
  <c r="N61" i="1"/>
  <c r="N62" i="1" s="1"/>
  <c r="M61" i="1"/>
  <c r="M62" i="1" s="1"/>
  <c r="L61" i="1"/>
  <c r="L62" i="1" s="1"/>
  <c r="K61" i="1"/>
  <c r="K62" i="1" s="1"/>
  <c r="J61" i="1"/>
  <c r="J62" i="1" s="1"/>
  <c r="I61" i="1"/>
  <c r="I62" i="1" s="1"/>
  <c r="H61" i="1"/>
  <c r="H62" i="1" s="1"/>
  <c r="G61" i="1"/>
  <c r="G62" i="1" s="1"/>
  <c r="F61" i="1"/>
  <c r="F62" i="1" s="1"/>
  <c r="E61" i="1"/>
  <c r="E62" i="1" s="1"/>
  <c r="D61" i="1"/>
  <c r="D62" i="1" s="1"/>
  <c r="AC60" i="1"/>
  <c r="P60" i="1"/>
  <c r="AC59" i="1"/>
  <c r="P59" i="1"/>
  <c r="AI56" i="1"/>
  <c r="AA56" i="1"/>
  <c r="AO55" i="1"/>
  <c r="AO56" i="1" s="1"/>
  <c r="AN55" i="1"/>
  <c r="AN56" i="1" s="1"/>
  <c r="AM55" i="1"/>
  <c r="AM56" i="1" s="1"/>
  <c r="AL55" i="1"/>
  <c r="AL56" i="1" s="1"/>
  <c r="AK55" i="1"/>
  <c r="AK56" i="1" s="1"/>
  <c r="AJ55" i="1"/>
  <c r="AJ56" i="1" s="1"/>
  <c r="AI55" i="1"/>
  <c r="AH55" i="1"/>
  <c r="AH56" i="1" s="1"/>
  <c r="AG55" i="1"/>
  <c r="AG56" i="1" s="1"/>
  <c r="AF55" i="1"/>
  <c r="AF56" i="1" s="1"/>
  <c r="AE55" i="1"/>
  <c r="AE56" i="1" s="1"/>
  <c r="AD55" i="1"/>
  <c r="AD56" i="1" s="1"/>
  <c r="AB55" i="1"/>
  <c r="AB56" i="1" s="1"/>
  <c r="AA55" i="1"/>
  <c r="Z55" i="1"/>
  <c r="Z56" i="1" s="1"/>
  <c r="Y55" i="1"/>
  <c r="Y56" i="1" s="1"/>
  <c r="X55" i="1"/>
  <c r="X56" i="1" s="1"/>
  <c r="W55" i="1"/>
  <c r="W56" i="1" s="1"/>
  <c r="V55" i="1"/>
  <c r="V56" i="1" s="1"/>
  <c r="U55" i="1"/>
  <c r="U56" i="1" s="1"/>
  <c r="T55" i="1"/>
  <c r="T56" i="1" s="1"/>
  <c r="S55" i="1"/>
  <c r="S56" i="1" s="1"/>
  <c r="R55" i="1"/>
  <c r="R56" i="1" s="1"/>
  <c r="Q55" i="1"/>
  <c r="Q56" i="1" s="1"/>
  <c r="O55" i="1"/>
  <c r="O56" i="1" s="1"/>
  <c r="N55" i="1"/>
  <c r="N56" i="1" s="1"/>
  <c r="M55" i="1"/>
  <c r="M56" i="1" s="1"/>
  <c r="L55" i="1"/>
  <c r="L56" i="1" s="1"/>
  <c r="K55" i="1"/>
  <c r="K56" i="1" s="1"/>
  <c r="J55" i="1"/>
  <c r="J56" i="1" s="1"/>
  <c r="I55" i="1"/>
  <c r="I56" i="1" s="1"/>
  <c r="H55" i="1"/>
  <c r="H56" i="1" s="1"/>
  <c r="G55" i="1"/>
  <c r="G56" i="1" s="1"/>
  <c r="F55" i="1"/>
  <c r="F56" i="1" s="1"/>
  <c r="E55" i="1"/>
  <c r="E56" i="1" s="1"/>
  <c r="D55" i="1"/>
  <c r="AP54" i="1"/>
  <c r="AC54" i="1"/>
  <c r="P54" i="1"/>
  <c r="AP53" i="1"/>
  <c r="AC53" i="1"/>
  <c r="P53" i="1"/>
  <c r="AO49" i="1"/>
  <c r="AO50" i="1" s="1"/>
  <c r="AN49" i="1"/>
  <c r="AN50" i="1" s="1"/>
  <c r="AM49" i="1"/>
  <c r="AM50" i="1" s="1"/>
  <c r="AL49" i="1"/>
  <c r="AL50" i="1" s="1"/>
  <c r="AK49" i="1"/>
  <c r="AK50" i="1" s="1"/>
  <c r="AJ49" i="1"/>
  <c r="AJ50" i="1" s="1"/>
  <c r="AI49" i="1"/>
  <c r="AI50" i="1" s="1"/>
  <c r="AH49" i="1"/>
  <c r="AH50" i="1" s="1"/>
  <c r="AG49" i="1"/>
  <c r="AG50" i="1" s="1"/>
  <c r="AF49" i="1"/>
  <c r="AF50" i="1" s="1"/>
  <c r="AE49" i="1"/>
  <c r="AE50" i="1" s="1"/>
  <c r="AD49" i="1"/>
  <c r="AD50" i="1" s="1"/>
  <c r="AB49" i="1"/>
  <c r="AB50" i="1" s="1"/>
  <c r="AA49" i="1"/>
  <c r="AA50" i="1" s="1"/>
  <c r="Z49" i="1"/>
  <c r="Z50" i="1" s="1"/>
  <c r="Y49" i="1"/>
  <c r="Y50" i="1" s="1"/>
  <c r="X49" i="1"/>
  <c r="X50" i="1" s="1"/>
  <c r="W49" i="1"/>
  <c r="W50" i="1" s="1"/>
  <c r="V49" i="1"/>
  <c r="V50" i="1" s="1"/>
  <c r="U49" i="1"/>
  <c r="U50" i="1" s="1"/>
  <c r="T49" i="1"/>
  <c r="T50" i="1" s="1"/>
  <c r="S49" i="1"/>
  <c r="S50" i="1" s="1"/>
  <c r="R49" i="1"/>
  <c r="R50" i="1" s="1"/>
  <c r="Q49" i="1"/>
  <c r="O49" i="1"/>
  <c r="O50" i="1" s="1"/>
  <c r="N49" i="1"/>
  <c r="N50" i="1" s="1"/>
  <c r="M49" i="1"/>
  <c r="M50" i="1" s="1"/>
  <c r="L49" i="1"/>
  <c r="L50" i="1" s="1"/>
  <c r="K49" i="1"/>
  <c r="K50" i="1" s="1"/>
  <c r="J49" i="1"/>
  <c r="J50" i="1" s="1"/>
  <c r="I49" i="1"/>
  <c r="I50" i="1" s="1"/>
  <c r="H49" i="1"/>
  <c r="H50" i="1" s="1"/>
  <c r="G49" i="1"/>
  <c r="G50" i="1" s="1"/>
  <c r="F49" i="1"/>
  <c r="F50" i="1" s="1"/>
  <c r="E49" i="1"/>
  <c r="E50" i="1" s="1"/>
  <c r="D49" i="1"/>
  <c r="AP48" i="1"/>
  <c r="AC48" i="1"/>
  <c r="P48" i="1"/>
  <c r="AP47" i="1"/>
  <c r="AC47" i="1"/>
  <c r="P47" i="1"/>
  <c r="AM44" i="1"/>
  <c r="AE44" i="1"/>
  <c r="AO43" i="1"/>
  <c r="AO44" i="1" s="1"/>
  <c r="AN43" i="1"/>
  <c r="AN44" i="1" s="1"/>
  <c r="AM43" i="1"/>
  <c r="AL43" i="1"/>
  <c r="AL44" i="1" s="1"/>
  <c r="AK43" i="1"/>
  <c r="AK44" i="1" s="1"/>
  <c r="AJ43" i="1"/>
  <c r="AJ44" i="1" s="1"/>
  <c r="AI43" i="1"/>
  <c r="AI44" i="1" s="1"/>
  <c r="AH43" i="1"/>
  <c r="AH44" i="1" s="1"/>
  <c r="AG43" i="1"/>
  <c r="AG44" i="1" s="1"/>
  <c r="AF43" i="1"/>
  <c r="AF44" i="1" s="1"/>
  <c r="AE43" i="1"/>
  <c r="AD43" i="1"/>
  <c r="AB43" i="1"/>
  <c r="AB44" i="1" s="1"/>
  <c r="AA43" i="1"/>
  <c r="AA44" i="1" s="1"/>
  <c r="Z43" i="1"/>
  <c r="Z44" i="1" s="1"/>
  <c r="Y43" i="1"/>
  <c r="Y44" i="1" s="1"/>
  <c r="X43" i="1"/>
  <c r="X44" i="1" s="1"/>
  <c r="W43" i="1"/>
  <c r="W44" i="1" s="1"/>
  <c r="V43" i="1"/>
  <c r="V44" i="1" s="1"/>
  <c r="U43" i="1"/>
  <c r="U44" i="1" s="1"/>
  <c r="T43" i="1"/>
  <c r="T44" i="1" s="1"/>
  <c r="S43" i="1"/>
  <c r="S44" i="1" s="1"/>
  <c r="R43" i="1"/>
  <c r="Q43" i="1"/>
  <c r="Q44" i="1" s="1"/>
  <c r="O43" i="1"/>
  <c r="O44" i="1" s="1"/>
  <c r="N43" i="1"/>
  <c r="N44" i="1" s="1"/>
  <c r="M43" i="1"/>
  <c r="M44" i="1" s="1"/>
  <c r="L43" i="1"/>
  <c r="L44" i="1" s="1"/>
  <c r="K43" i="1"/>
  <c r="K44" i="1" s="1"/>
  <c r="J43" i="1"/>
  <c r="J44" i="1" s="1"/>
  <c r="I43" i="1"/>
  <c r="I44" i="1" s="1"/>
  <c r="H43" i="1"/>
  <c r="H44" i="1" s="1"/>
  <c r="G43" i="1"/>
  <c r="G44" i="1" s="1"/>
  <c r="F43" i="1"/>
  <c r="F44" i="1" s="1"/>
  <c r="E43" i="1"/>
  <c r="E44" i="1" s="1"/>
  <c r="D43" i="1"/>
  <c r="AP42" i="1"/>
  <c r="AC42" i="1"/>
  <c r="P42" i="1"/>
  <c r="AP41" i="1"/>
  <c r="AC41" i="1"/>
  <c r="P41" i="1"/>
  <c r="O38" i="1"/>
  <c r="N38" i="1"/>
  <c r="M38" i="1"/>
  <c r="L38" i="1"/>
  <c r="K38" i="1"/>
  <c r="J38" i="1"/>
  <c r="H38" i="1"/>
  <c r="I37" i="1"/>
  <c r="I38" i="1" s="1"/>
  <c r="H37" i="1"/>
  <c r="G37" i="1"/>
  <c r="G38" i="1" s="1"/>
  <c r="F37" i="1"/>
  <c r="F38" i="1" s="1"/>
  <c r="E37" i="1"/>
  <c r="E38" i="1" s="1"/>
  <c r="D37" i="1"/>
  <c r="D38" i="1" s="1"/>
  <c r="P36" i="1"/>
  <c r="P35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B32" i="1"/>
  <c r="AA32" i="1"/>
  <c r="Z32" i="1"/>
  <c r="Y32" i="1"/>
  <c r="X32" i="1"/>
  <c r="W32" i="1"/>
  <c r="V32" i="1"/>
  <c r="U32" i="1"/>
  <c r="T32" i="1"/>
  <c r="S32" i="1"/>
  <c r="R32" i="1"/>
  <c r="Q32" i="1"/>
  <c r="O32" i="1"/>
  <c r="N32" i="1"/>
  <c r="M32" i="1"/>
  <c r="L32" i="1"/>
  <c r="K32" i="1"/>
  <c r="J32" i="1"/>
  <c r="I32" i="1"/>
  <c r="H32" i="1"/>
  <c r="G32" i="1"/>
  <c r="F32" i="1"/>
  <c r="E32" i="1"/>
  <c r="D32" i="1"/>
  <c r="AP31" i="1"/>
  <c r="AC31" i="1"/>
  <c r="P31" i="1"/>
  <c r="AP30" i="1"/>
  <c r="AC30" i="1"/>
  <c r="P30" i="1"/>
  <c r="P32" i="1" s="1"/>
  <c r="AP29" i="1"/>
  <c r="AC29" i="1"/>
  <c r="P29" i="1"/>
  <c r="Y26" i="1"/>
  <c r="S26" i="1"/>
  <c r="O26" i="1"/>
  <c r="N26" i="1"/>
  <c r="M26" i="1"/>
  <c r="L26" i="1"/>
  <c r="K26" i="1"/>
  <c r="J26" i="1"/>
  <c r="I26" i="1"/>
  <c r="H26" i="1"/>
  <c r="G26" i="1"/>
  <c r="F26" i="1"/>
  <c r="E26" i="1"/>
  <c r="D26" i="1"/>
  <c r="AO25" i="1"/>
  <c r="AO26" i="1" s="1"/>
  <c r="AN25" i="1"/>
  <c r="AN26" i="1" s="1"/>
  <c r="AM25" i="1"/>
  <c r="AM26" i="1" s="1"/>
  <c r="AL25" i="1"/>
  <c r="AL26" i="1" s="1"/>
  <c r="AK25" i="1"/>
  <c r="AK26" i="1" s="1"/>
  <c r="AJ25" i="1"/>
  <c r="AJ26" i="1" s="1"/>
  <c r="AI25" i="1"/>
  <c r="AI26" i="1" s="1"/>
  <c r="AH25" i="1"/>
  <c r="AH26" i="1" s="1"/>
  <c r="AG25" i="1"/>
  <c r="AG26" i="1" s="1"/>
  <c r="AF25" i="1"/>
  <c r="AF26" i="1" s="1"/>
  <c r="AE25" i="1"/>
  <c r="AE26" i="1" s="1"/>
  <c r="AD25" i="1"/>
  <c r="AD26" i="1" s="1"/>
  <c r="AB25" i="1"/>
  <c r="AB26" i="1" s="1"/>
  <c r="AA25" i="1"/>
  <c r="AA26" i="1" s="1"/>
  <c r="Z25" i="1"/>
  <c r="Z26" i="1" s="1"/>
  <c r="Y25" i="1"/>
  <c r="X25" i="1"/>
  <c r="X26" i="1" s="1"/>
  <c r="W25" i="1"/>
  <c r="W26" i="1" s="1"/>
  <c r="V25" i="1"/>
  <c r="V26" i="1" s="1"/>
  <c r="U25" i="1"/>
  <c r="U26" i="1" s="1"/>
  <c r="T25" i="1"/>
  <c r="T26" i="1" s="1"/>
  <c r="S25" i="1"/>
  <c r="R25" i="1"/>
  <c r="R26" i="1" s="1"/>
  <c r="Q25" i="1"/>
  <c r="Q26" i="1" s="1"/>
  <c r="P25" i="1"/>
  <c r="AP24" i="1"/>
  <c r="AC24" i="1"/>
  <c r="P24" i="1"/>
  <c r="AP23" i="1"/>
  <c r="AC23" i="1"/>
  <c r="P23" i="1"/>
  <c r="A22" i="1"/>
  <c r="A28" i="1" s="1"/>
  <c r="A40" i="1" s="1"/>
  <c r="A46" i="1" s="1"/>
  <c r="A52" i="1" s="1"/>
  <c r="A64" i="1" s="1"/>
  <c r="A70" i="1" s="1"/>
  <c r="A76" i="1" s="1"/>
  <c r="A82" i="1" s="1"/>
  <c r="A88" i="1" s="1"/>
  <c r="A94" i="1" s="1"/>
  <c r="A100" i="1" s="1"/>
  <c r="A106" i="1" s="1"/>
  <c r="A112" i="1" s="1"/>
  <c r="A118" i="1" s="1"/>
  <c r="A124" i="1" s="1"/>
  <c r="A130" i="1" s="1"/>
  <c r="A136" i="1" s="1"/>
  <c r="A148" i="1" s="1"/>
  <c r="A154" i="1" s="1"/>
  <c r="A160" i="1" s="1"/>
  <c r="A172" i="1" s="1"/>
  <c r="A178" i="1" s="1"/>
  <c r="A184" i="1" s="1"/>
  <c r="A190" i="1" s="1"/>
  <c r="A196" i="1" s="1"/>
  <c r="A202" i="1" s="1"/>
  <c r="A214" i="1" s="1"/>
  <c r="A220" i="1" s="1"/>
  <c r="A226" i="1" s="1"/>
  <c r="A232" i="1" s="1"/>
  <c r="A244" i="1" s="1"/>
  <c r="A250" i="1" s="1"/>
  <c r="A256" i="1" s="1"/>
  <c r="A280" i="1" s="1"/>
  <c r="A286" i="1" s="1"/>
  <c r="A304" i="1" s="1"/>
  <c r="A310" i="1" s="1"/>
  <c r="A322" i="1" s="1"/>
  <c r="A328" i="1" s="1"/>
  <c r="A352" i="1" s="1"/>
  <c r="A364" i="1" s="1"/>
  <c r="A370" i="1" s="1"/>
  <c r="A376" i="1" s="1"/>
  <c r="A412" i="1" s="1"/>
  <c r="A418" i="1" s="1"/>
  <c r="A424" i="1" s="1"/>
  <c r="A430" i="1" s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B19" i="1"/>
  <c r="AA19" i="1"/>
  <c r="Z19" i="1"/>
  <c r="Z20" i="1" s="1"/>
  <c r="Y19" i="1"/>
  <c r="X19" i="1"/>
  <c r="W19" i="1"/>
  <c r="V19" i="1"/>
  <c r="U19" i="1"/>
  <c r="T19" i="1"/>
  <c r="T20" i="1" s="1"/>
  <c r="S19" i="1"/>
  <c r="R19" i="1"/>
  <c r="R20" i="1" s="1"/>
  <c r="Q19" i="1"/>
  <c r="O19" i="1"/>
  <c r="N19" i="1"/>
  <c r="N20" i="1" s="1"/>
  <c r="M19" i="1"/>
  <c r="M20" i="1" s="1"/>
  <c r="L19" i="1"/>
  <c r="L20" i="1" s="1"/>
  <c r="K19" i="1"/>
  <c r="K20" i="1" s="1"/>
  <c r="J19" i="1"/>
  <c r="J20" i="1" s="1"/>
  <c r="I19" i="1"/>
  <c r="I20" i="1" s="1"/>
  <c r="H19" i="1"/>
  <c r="H20" i="1" s="1"/>
  <c r="G19" i="1"/>
  <c r="G20" i="1" s="1"/>
  <c r="F19" i="1"/>
  <c r="F20" i="1" s="1"/>
  <c r="E19" i="1"/>
  <c r="E20" i="1" s="1"/>
  <c r="D19" i="1"/>
  <c r="D20" i="1" s="1"/>
  <c r="AP18" i="1"/>
  <c r="AC18" i="1"/>
  <c r="P18" i="1"/>
  <c r="AP17" i="1"/>
  <c r="AC17" i="1"/>
  <c r="P17" i="1"/>
  <c r="O14" i="1"/>
  <c r="M14" i="1"/>
  <c r="F14" i="1"/>
  <c r="E14" i="1"/>
  <c r="N13" i="1"/>
  <c r="N14" i="1" s="1"/>
  <c r="M13" i="1"/>
  <c r="L13" i="1"/>
  <c r="K13" i="1"/>
  <c r="J13" i="1"/>
  <c r="J14" i="1" s="1"/>
  <c r="I13" i="1"/>
  <c r="I14" i="1" s="1"/>
  <c r="H13" i="1"/>
  <c r="H14" i="1" s="1"/>
  <c r="G13" i="1"/>
  <c r="G14" i="1" s="1"/>
  <c r="F13" i="1"/>
  <c r="E13" i="1"/>
  <c r="D13" i="1"/>
  <c r="D14" i="1" s="1"/>
  <c r="P12" i="1"/>
  <c r="P11" i="1"/>
  <c r="O8" i="1"/>
  <c r="N8" i="1"/>
  <c r="M8" i="1"/>
  <c r="L8" i="1"/>
  <c r="K8" i="1"/>
  <c r="J7" i="1"/>
  <c r="I7" i="1"/>
  <c r="H7" i="1"/>
  <c r="G7" i="1"/>
  <c r="F7" i="1"/>
  <c r="E7" i="1"/>
  <c r="D7" i="1"/>
  <c r="P6" i="1"/>
  <c r="P5" i="1"/>
  <c r="P566" i="1" l="1"/>
  <c r="P277" i="1"/>
  <c r="AA674" i="1"/>
  <c r="AC740" i="1"/>
  <c r="AP236" i="1"/>
  <c r="AC277" i="1"/>
  <c r="P422" i="1"/>
  <c r="P512" i="1"/>
  <c r="AP650" i="1"/>
  <c r="AC704" i="1"/>
  <c r="P440" i="1"/>
  <c r="AP482" i="1"/>
  <c r="AP962" i="1"/>
  <c r="AC140" i="1"/>
  <c r="R140" i="1"/>
  <c r="P565" i="1"/>
  <c r="AP746" i="1"/>
  <c r="AC824" i="1"/>
  <c r="E997" i="1"/>
  <c r="P242" i="1"/>
  <c r="P470" i="1"/>
  <c r="P650" i="1"/>
  <c r="AC674" i="1"/>
  <c r="AC878" i="1"/>
  <c r="AP530" i="1"/>
  <c r="AC151" i="1"/>
  <c r="AP602" i="1"/>
  <c r="AC668" i="1"/>
  <c r="AP974" i="1"/>
  <c r="AC236" i="1"/>
  <c r="P626" i="1"/>
  <c r="P223" i="1"/>
  <c r="P668" i="1"/>
  <c r="P686" i="1"/>
  <c r="Q836" i="1"/>
  <c r="Q842" i="1"/>
  <c r="AC926" i="1"/>
  <c r="AC938" i="1"/>
  <c r="I997" i="1"/>
  <c r="P7" i="1"/>
  <c r="P8" i="1" s="1"/>
  <c r="AC43" i="1"/>
  <c r="AC44" i="1" s="1"/>
  <c r="AC67" i="1"/>
  <c r="P145" i="1"/>
  <c r="AC152" i="1"/>
  <c r="AC278" i="1"/>
  <c r="P655" i="1"/>
  <c r="P656" i="1" s="1"/>
  <c r="P860" i="1"/>
  <c r="AP157" i="1"/>
  <c r="AP158" i="1" s="1"/>
  <c r="P265" i="1"/>
  <c r="Z998" i="1"/>
  <c r="AP25" i="1"/>
  <c r="AP91" i="1"/>
  <c r="AC97" i="1"/>
  <c r="AC98" i="1" s="1"/>
  <c r="P194" i="1"/>
  <c r="P217" i="1"/>
  <c r="AC308" i="1"/>
  <c r="AC482" i="1"/>
  <c r="P518" i="1"/>
  <c r="AP133" i="1"/>
  <c r="AP134" i="1" s="1"/>
  <c r="H997" i="1"/>
  <c r="AJ997" i="1"/>
  <c r="P308" i="1"/>
  <c r="AP308" i="1"/>
  <c r="P326" i="1"/>
  <c r="P446" i="1"/>
  <c r="J746" i="1"/>
  <c r="P745" i="1"/>
  <c r="AC812" i="1"/>
  <c r="Q848" i="1"/>
  <c r="O860" i="1"/>
  <c r="AC115" i="1"/>
  <c r="AC116" i="1" s="1"/>
  <c r="P212" i="1"/>
  <c r="D224" i="1"/>
  <c r="AP332" i="1"/>
  <c r="AP643" i="1"/>
  <c r="AP644" i="1" s="1"/>
  <c r="AB997" i="1"/>
  <c r="AP32" i="1"/>
  <c r="P157" i="1"/>
  <c r="P320" i="1"/>
  <c r="AC416" i="1"/>
  <c r="P644" i="1"/>
  <c r="P698" i="1"/>
  <c r="AC752" i="1"/>
  <c r="AC794" i="1"/>
  <c r="AH997" i="1"/>
  <c r="AD488" i="1"/>
  <c r="AP487" i="1"/>
  <c r="AP488" i="1" s="1"/>
  <c r="M997" i="1"/>
  <c r="AC68" i="1"/>
  <c r="AP92" i="1"/>
  <c r="AC320" i="1"/>
  <c r="AP427" i="1"/>
  <c r="AH428" i="1"/>
  <c r="P488" i="1"/>
  <c r="P506" i="1"/>
  <c r="AP840" i="1"/>
  <c r="AP842" i="1" s="1"/>
  <c r="AD842" i="1"/>
  <c r="AC890" i="1"/>
  <c r="AC908" i="1"/>
  <c r="AP914" i="1"/>
  <c r="AP968" i="1"/>
  <c r="AP980" i="1"/>
  <c r="AC995" i="1"/>
  <c r="AP638" i="1"/>
  <c r="AC758" i="1"/>
  <c r="AP806" i="1"/>
  <c r="AD996" i="1"/>
  <c r="AP996" i="1" s="1"/>
  <c r="P368" i="1"/>
  <c r="AP440" i="1"/>
  <c r="AP452" i="1"/>
  <c r="P584" i="1"/>
  <c r="P602" i="1"/>
  <c r="P638" i="1"/>
  <c r="AP758" i="1"/>
  <c r="AP834" i="1"/>
  <c r="AD854" i="1"/>
  <c r="AP902" i="1"/>
  <c r="AC932" i="1"/>
  <c r="AP956" i="1"/>
  <c r="AP986" i="1"/>
  <c r="AP992" i="1"/>
  <c r="P416" i="1"/>
  <c r="AC434" i="1"/>
  <c r="P452" i="1"/>
  <c r="AC661" i="1"/>
  <c r="AC662" i="1" s="1"/>
  <c r="AC800" i="1"/>
  <c r="AC806" i="1"/>
  <c r="AC818" i="1"/>
  <c r="AC902" i="1"/>
  <c r="AP926" i="1"/>
  <c r="P995" i="1"/>
  <c r="P362" i="1"/>
  <c r="AC422" i="1"/>
  <c r="AP446" i="1"/>
  <c r="AP512" i="1"/>
  <c r="P560" i="1"/>
  <c r="P587" i="1"/>
  <c r="P674" i="1"/>
  <c r="AC686" i="1"/>
  <c r="P740" i="1"/>
  <c r="P794" i="1"/>
  <c r="AP818" i="1"/>
  <c r="AC835" i="1"/>
  <c r="O842" i="1"/>
  <c r="P858" i="1"/>
  <c r="AP884" i="1"/>
  <c r="AP896" i="1"/>
  <c r="AP944" i="1"/>
  <c r="AC518" i="1"/>
  <c r="AP590" i="1"/>
  <c r="P632" i="1"/>
  <c r="P691" i="1"/>
  <c r="P692" i="1" s="1"/>
  <c r="P704" i="1"/>
  <c r="AP703" i="1"/>
  <c r="AB704" i="1"/>
  <c r="AC764" i="1"/>
  <c r="P782" i="1"/>
  <c r="AP812" i="1"/>
  <c r="AP878" i="1"/>
  <c r="AC914" i="1"/>
  <c r="AP995" i="1"/>
  <c r="A448" i="1"/>
  <c r="A454" i="1" s="1"/>
  <c r="A466" i="1" s="1"/>
  <c r="A478" i="1" s="1"/>
  <c r="A490" i="1" s="1"/>
  <c r="A508" i="1" s="1"/>
  <c r="A514" i="1" s="1"/>
  <c r="A520" i="1" s="1"/>
  <c r="A526" i="1" s="1"/>
  <c r="A538" i="1" s="1"/>
  <c r="A544" i="1" s="1"/>
  <c r="A550" i="1" s="1"/>
  <c r="A556" i="1" s="1"/>
  <c r="A562" i="1" s="1"/>
  <c r="A568" i="1" s="1"/>
  <c r="A574" i="1" s="1"/>
  <c r="A580" i="1" s="1"/>
  <c r="A586" i="1" s="1"/>
  <c r="A592" i="1" s="1"/>
  <c r="A598" i="1" s="1"/>
  <c r="A604" i="1" s="1"/>
  <c r="A610" i="1" s="1"/>
  <c r="A616" i="1" s="1"/>
  <c r="A622" i="1" s="1"/>
  <c r="A628" i="1" s="1"/>
  <c r="A634" i="1" s="1"/>
  <c r="A640" i="1" s="1"/>
  <c r="A646" i="1" s="1"/>
  <c r="A652" i="1" s="1"/>
  <c r="A658" i="1" s="1"/>
  <c r="A664" i="1" s="1"/>
  <c r="A670" i="1" s="1"/>
  <c r="A676" i="1" s="1"/>
  <c r="A682" i="1" s="1"/>
  <c r="A688" i="1" s="1"/>
  <c r="A694" i="1" s="1"/>
  <c r="A700" i="1" s="1"/>
  <c r="A706" i="1" s="1"/>
  <c r="A712" i="1" s="1"/>
  <c r="A718" i="1" s="1"/>
  <c r="A724" i="1" s="1"/>
  <c r="A730" i="1" s="1"/>
  <c r="A742" i="1" s="1"/>
  <c r="A748" i="1" s="1"/>
  <c r="A754" i="1" s="1"/>
  <c r="A760" i="1" s="1"/>
  <c r="A766" i="1" s="1"/>
  <c r="A772" i="1" s="1"/>
  <c r="A778" i="1" s="1"/>
  <c r="A784" i="1" s="1"/>
  <c r="A790" i="1" s="1"/>
  <c r="A796" i="1" s="1"/>
  <c r="A802" i="1" s="1"/>
  <c r="A808" i="1" s="1"/>
  <c r="A814" i="1" s="1"/>
  <c r="A820" i="1" s="1"/>
  <c r="A826" i="1" s="1"/>
  <c r="A832" i="1" s="1"/>
  <c r="A442" i="1"/>
  <c r="A436" i="1"/>
  <c r="S997" i="1"/>
  <c r="S20" i="1"/>
  <c r="Q80" i="1"/>
  <c r="AC79" i="1"/>
  <c r="AC80" i="1" s="1"/>
  <c r="D110" i="1"/>
  <c r="P109" i="1"/>
  <c r="P110" i="1" s="1"/>
  <c r="J997" i="1"/>
  <c r="J8" i="1"/>
  <c r="J998" i="1" s="1"/>
  <c r="L997" i="1"/>
  <c r="U997" i="1"/>
  <c r="U20" i="1"/>
  <c r="U998" i="1" s="1"/>
  <c r="AC19" i="1"/>
  <c r="AC20" i="1" s="1"/>
  <c r="AK997" i="1"/>
  <c r="AK20" i="1"/>
  <c r="AK998" i="1" s="1"/>
  <c r="P26" i="1"/>
  <c r="AC61" i="1"/>
  <c r="AC62" i="1" s="1"/>
  <c r="P86" i="1"/>
  <c r="P253" i="1"/>
  <c r="P254" i="1" s="1"/>
  <c r="I8" i="1"/>
  <c r="AA997" i="1"/>
  <c r="AA20" i="1"/>
  <c r="AA998" i="1" s="1"/>
  <c r="T134" i="1"/>
  <c r="AC133" i="1"/>
  <c r="AC134" i="1" s="1"/>
  <c r="P146" i="1"/>
  <c r="K997" i="1"/>
  <c r="V997" i="1"/>
  <c r="V20" i="1"/>
  <c r="AD997" i="1"/>
  <c r="AP19" i="1"/>
  <c r="AP20" i="1" s="1"/>
  <c r="AD20" i="1"/>
  <c r="AL997" i="1"/>
  <c r="AL20" i="1"/>
  <c r="AL998" i="1" s="1"/>
  <c r="D44" i="1"/>
  <c r="P43" i="1"/>
  <c r="P44" i="1" s="1"/>
  <c r="AD44" i="1"/>
  <c r="AP43" i="1"/>
  <c r="AP44" i="1" s="1"/>
  <c r="Q50" i="1"/>
  <c r="AC49" i="1"/>
  <c r="AC50" i="1" s="1"/>
  <c r="D56" i="1"/>
  <c r="P55" i="1"/>
  <c r="AD68" i="1"/>
  <c r="AP67" i="1"/>
  <c r="AP68" i="1" s="1"/>
  <c r="P73" i="1"/>
  <c r="P74" i="1" s="1"/>
  <c r="D104" i="1"/>
  <c r="P103" i="1"/>
  <c r="D122" i="1"/>
  <c r="P121" i="1"/>
  <c r="P122" i="1" s="1"/>
  <c r="AD122" i="1"/>
  <c r="AP121" i="1"/>
  <c r="AP122" i="1" s="1"/>
  <c r="P127" i="1"/>
  <c r="P128" i="1" s="1"/>
  <c r="AD74" i="1"/>
  <c r="AP73" i="1"/>
  <c r="AP74" i="1" s="1"/>
  <c r="T997" i="1"/>
  <c r="AC25" i="1"/>
  <c r="AC26" i="1" s="1"/>
  <c r="P61" i="1"/>
  <c r="E8" i="1"/>
  <c r="M998" i="1"/>
  <c r="N997" i="1"/>
  <c r="O997" i="1"/>
  <c r="O20" i="1"/>
  <c r="W997" i="1"/>
  <c r="W20" i="1"/>
  <c r="W998" i="1" s="1"/>
  <c r="AE997" i="1"/>
  <c r="AE20" i="1"/>
  <c r="AM997" i="1"/>
  <c r="AM20" i="1"/>
  <c r="AM998" i="1" s="1"/>
  <c r="AP26" i="1"/>
  <c r="AC73" i="1"/>
  <c r="AC74" i="1" s="1"/>
  <c r="P79" i="1"/>
  <c r="AP79" i="1"/>
  <c r="AP80" i="1" s="1"/>
  <c r="AP98" i="1"/>
  <c r="D116" i="1"/>
  <c r="P115" i="1"/>
  <c r="P116" i="1" s="1"/>
  <c r="AD116" i="1"/>
  <c r="AP115" i="1"/>
  <c r="AP116" i="1" s="1"/>
  <c r="AE128" i="1"/>
  <c r="AP127" i="1"/>
  <c r="AP128" i="1" s="1"/>
  <c r="AC595" i="1"/>
  <c r="AC596" i="1" s="1"/>
  <c r="P62" i="1"/>
  <c r="AC85" i="1"/>
  <c r="AC86" i="1" s="1"/>
  <c r="AP85" i="1"/>
  <c r="AP86" i="1" s="1"/>
  <c r="D134" i="1"/>
  <c r="P133" i="1"/>
  <c r="P134" i="1" s="1"/>
  <c r="F997" i="1"/>
  <c r="F8" i="1"/>
  <c r="N998" i="1"/>
  <c r="P13" i="1"/>
  <c r="P14" i="1" s="1"/>
  <c r="K14" i="1"/>
  <c r="P19" i="1"/>
  <c r="P20" i="1" s="1"/>
  <c r="X997" i="1"/>
  <c r="X20" i="1"/>
  <c r="AF997" i="1"/>
  <c r="AF20" i="1"/>
  <c r="AN997" i="1"/>
  <c r="AN20" i="1"/>
  <c r="AB20" i="1"/>
  <c r="P56" i="1"/>
  <c r="P104" i="1"/>
  <c r="AG200" i="1"/>
  <c r="AP199" i="1"/>
  <c r="AP200" i="1" s="1"/>
  <c r="D997" i="1"/>
  <c r="D8" i="1"/>
  <c r="G997" i="1"/>
  <c r="G8" i="1"/>
  <c r="G998" i="1" s="1"/>
  <c r="L14" i="1"/>
  <c r="Q997" i="1"/>
  <c r="Q20" i="1"/>
  <c r="Y997" i="1"/>
  <c r="Y20" i="1"/>
  <c r="Y998" i="1" s="1"/>
  <c r="AG997" i="1"/>
  <c r="AG20" i="1"/>
  <c r="AO997" i="1"/>
  <c r="AO20" i="1"/>
  <c r="AO998" i="1" s="1"/>
  <c r="AH20" i="1"/>
  <c r="P67" i="1"/>
  <c r="P68" i="1" s="1"/>
  <c r="P80" i="1"/>
  <c r="P91" i="1"/>
  <c r="P92" i="1" s="1"/>
  <c r="AC91" i="1"/>
  <c r="AC92" i="1" s="1"/>
  <c r="AI997" i="1"/>
  <c r="AI20" i="1"/>
  <c r="AI998" i="1" s="1"/>
  <c r="H8" i="1"/>
  <c r="H998" i="1" s="1"/>
  <c r="R997" i="1"/>
  <c r="Z997" i="1"/>
  <c r="AJ20" i="1"/>
  <c r="AJ998" i="1" s="1"/>
  <c r="AC32" i="1"/>
  <c r="P49" i="1"/>
  <c r="P50" i="1" s="1"/>
  <c r="AP55" i="1"/>
  <c r="AP56" i="1" s="1"/>
  <c r="AP103" i="1"/>
  <c r="AP104" i="1" s="1"/>
  <c r="AC121" i="1"/>
  <c r="AC122" i="1" s="1"/>
  <c r="Q128" i="1"/>
  <c r="AC127" i="1"/>
  <c r="AC128" i="1" s="1"/>
  <c r="P37" i="1"/>
  <c r="P38" i="1" s="1"/>
  <c r="AP49" i="1"/>
  <c r="AP50" i="1" s="1"/>
  <c r="AC55" i="1"/>
  <c r="AC56" i="1" s="1"/>
  <c r="AC103" i="1"/>
  <c r="AC104" i="1" s="1"/>
  <c r="AC109" i="1"/>
  <c r="AC110" i="1" s="1"/>
  <c r="Q200" i="1"/>
  <c r="AC199" i="1"/>
  <c r="AE290" i="1"/>
  <c r="AP289" i="1"/>
  <c r="AP290" i="1" s="1"/>
  <c r="D50" i="1"/>
  <c r="AD80" i="1"/>
  <c r="Q116" i="1"/>
  <c r="Q122" i="1"/>
  <c r="D128" i="1"/>
  <c r="AC188" i="1"/>
  <c r="P224" i="1"/>
  <c r="AC769" i="1"/>
  <c r="AC770" i="1" s="1"/>
  <c r="R44" i="1"/>
  <c r="R998" i="1" s="1"/>
  <c r="P97" i="1"/>
  <c r="P98" i="1" s="1"/>
  <c r="P158" i="1"/>
  <c r="AP187" i="1"/>
  <c r="AP188" i="1" s="1"/>
  <c r="P218" i="1"/>
  <c r="AC224" i="1"/>
  <c r="AP428" i="1"/>
  <c r="P571" i="1"/>
  <c r="P572" i="1" s="1"/>
  <c r="AC715" i="1"/>
  <c r="AC716" i="1" s="1"/>
  <c r="AP109" i="1"/>
  <c r="AP110" i="1" s="1"/>
  <c r="AH158" i="1"/>
  <c r="P205" i="1"/>
  <c r="P206" i="1" s="1"/>
  <c r="D248" i="1"/>
  <c r="P247" i="1"/>
  <c r="P248" i="1" s="1"/>
  <c r="AC247" i="1"/>
  <c r="AC248" i="1" s="1"/>
  <c r="P373" i="1"/>
  <c r="P374" i="1" s="1"/>
  <c r="E374" i="1"/>
  <c r="AP680" i="1"/>
  <c r="I140" i="1"/>
  <c r="P139" i="1"/>
  <c r="P140" i="1" s="1"/>
  <c r="AD152" i="1"/>
  <c r="AP151" i="1"/>
  <c r="AP152" i="1" s="1"/>
  <c r="Q158" i="1"/>
  <c r="AC157" i="1"/>
  <c r="AC158" i="1" s="1"/>
  <c r="D176" i="1"/>
  <c r="P175" i="1"/>
  <c r="P176" i="1" s="1"/>
  <c r="AC175" i="1"/>
  <c r="AC176" i="1" s="1"/>
  <c r="Q218" i="1"/>
  <c r="AC217" i="1"/>
  <c r="AC218" i="1" s="1"/>
  <c r="F410" i="1"/>
  <c r="P409" i="1"/>
  <c r="P410" i="1" s="1"/>
  <c r="P547" i="1"/>
  <c r="P548" i="1" s="1"/>
  <c r="D164" i="1"/>
  <c r="P163" i="1"/>
  <c r="P164" i="1" s="1"/>
  <c r="AC163" i="1"/>
  <c r="AC164" i="1" s="1"/>
  <c r="AP175" i="1"/>
  <c r="AP176" i="1" s="1"/>
  <c r="P181" i="1"/>
  <c r="P182" i="1" s="1"/>
  <c r="AC193" i="1"/>
  <c r="AC194" i="1" s="1"/>
  <c r="P229" i="1"/>
  <c r="P230" i="1" s="1"/>
  <c r="D230" i="1"/>
  <c r="AC229" i="1"/>
  <c r="AC230" i="1" s="1"/>
  <c r="D620" i="1"/>
  <c r="P619" i="1"/>
  <c r="P620" i="1" s="1"/>
  <c r="AC619" i="1"/>
  <c r="AC620" i="1" s="1"/>
  <c r="AP163" i="1"/>
  <c r="AP164" i="1" s="1"/>
  <c r="D170" i="1"/>
  <c r="P169" i="1"/>
  <c r="P170" i="1" s="1"/>
  <c r="AC181" i="1"/>
  <c r="AC182" i="1" s="1"/>
  <c r="P187" i="1"/>
  <c r="P188" i="1" s="1"/>
  <c r="AP193" i="1"/>
  <c r="AP194" i="1" s="1"/>
  <c r="Q206" i="1"/>
  <c r="AC205" i="1"/>
  <c r="AC206" i="1" s="1"/>
  <c r="AP205" i="1"/>
  <c r="AP206" i="1" s="1"/>
  <c r="P296" i="1"/>
  <c r="P151" i="1"/>
  <c r="P152" i="1" s="1"/>
  <c r="Q152" i="1"/>
  <c r="D158" i="1"/>
  <c r="E218" i="1"/>
  <c r="P236" i="1"/>
  <c r="AP247" i="1"/>
  <c r="AP248" i="1" s="1"/>
  <c r="P278" i="1"/>
  <c r="P380" i="1"/>
  <c r="AP524" i="1"/>
  <c r="P661" i="1"/>
  <c r="P662" i="1" s="1"/>
  <c r="D662" i="1"/>
  <c r="AP661" i="1"/>
  <c r="AP662" i="1" s="1"/>
  <c r="AD662" i="1"/>
  <c r="AP181" i="1"/>
  <c r="AP182" i="1" s="1"/>
  <c r="AC187" i="1"/>
  <c r="E206" i="1"/>
  <c r="Q260" i="1"/>
  <c r="AC259" i="1"/>
  <c r="AC260" i="1" s="1"/>
  <c r="AP259" i="1"/>
  <c r="AP260" i="1" s="1"/>
  <c r="P272" i="1"/>
  <c r="Q290" i="1"/>
  <c r="AC289" i="1"/>
  <c r="AC290" i="1" s="1"/>
  <c r="D314" i="1"/>
  <c r="P313" i="1"/>
  <c r="P314" i="1" s="1"/>
  <c r="AC313" i="1"/>
  <c r="AC314" i="1" s="1"/>
  <c r="D356" i="1"/>
  <c r="P355" i="1"/>
  <c r="P356" i="1" s="1"/>
  <c r="AC355" i="1"/>
  <c r="AC356" i="1" s="1"/>
  <c r="AD578" i="1"/>
  <c r="AP577" i="1"/>
  <c r="AP578" i="1" s="1"/>
  <c r="AC625" i="1"/>
  <c r="P266" i="1"/>
  <c r="D278" i="1"/>
  <c r="AC325" i="1"/>
  <c r="AC326" i="1" s="1"/>
  <c r="Q326" i="1"/>
  <c r="AP325" i="1"/>
  <c r="AP326" i="1" s="1"/>
  <c r="AC368" i="1"/>
  <c r="O428" i="1"/>
  <c r="P427" i="1"/>
  <c r="P428" i="1" s="1"/>
  <c r="P493" i="1"/>
  <c r="P494" i="1" s="1"/>
  <c r="AP583" i="1"/>
  <c r="AP584" i="1" s="1"/>
  <c r="AD584" i="1"/>
  <c r="AP217" i="1"/>
  <c r="AP218" i="1" s="1"/>
  <c r="AD284" i="1"/>
  <c r="AP283" i="1"/>
  <c r="AP284" i="1" s="1"/>
  <c r="AP493" i="1"/>
  <c r="AP494" i="1" s="1"/>
  <c r="AC626" i="1"/>
  <c r="AE626" i="1"/>
  <c r="AP625" i="1"/>
  <c r="AP626" i="1" s="1"/>
  <c r="AC200" i="1"/>
  <c r="AP229" i="1"/>
  <c r="AP230" i="1" s="1"/>
  <c r="AC296" i="1"/>
  <c r="P301" i="1"/>
  <c r="P302" i="1" s="1"/>
  <c r="D302" i="1"/>
  <c r="F350" i="1"/>
  <c r="P349" i="1"/>
  <c r="P350" i="1" s="1"/>
  <c r="P391" i="1"/>
  <c r="P392" i="1" s="1"/>
  <c r="R428" i="1"/>
  <c r="AC427" i="1"/>
  <c r="AC428" i="1" s="1"/>
  <c r="AC493" i="1"/>
  <c r="AC494" i="1" s="1"/>
  <c r="R494" i="1"/>
  <c r="AC530" i="1"/>
  <c r="P199" i="1"/>
  <c r="P200" i="1" s="1"/>
  <c r="AC223" i="1"/>
  <c r="AP223" i="1"/>
  <c r="AP224" i="1" s="1"/>
  <c r="AC373" i="1"/>
  <c r="AC374" i="1" s="1"/>
  <c r="P476" i="1"/>
  <c r="P613" i="1"/>
  <c r="P614" i="1" s="1"/>
  <c r="D614" i="1"/>
  <c r="AC613" i="1"/>
  <c r="AC614" i="1" s="1"/>
  <c r="Q470" i="1"/>
  <c r="AC469" i="1"/>
  <c r="AC470" i="1" s="1"/>
  <c r="AF572" i="1"/>
  <c r="AP571" i="1"/>
  <c r="AP572" i="1" s="1"/>
  <c r="AC577" i="1"/>
  <c r="AC578" i="1" s="1"/>
  <c r="AD608" i="1"/>
  <c r="AP607" i="1"/>
  <c r="AP608" i="1" s="1"/>
  <c r="AP613" i="1"/>
  <c r="AP614" i="1" s="1"/>
  <c r="Q698" i="1"/>
  <c r="AC697" i="1"/>
  <c r="AC698" i="1" s="1"/>
  <c r="AP697" i="1"/>
  <c r="AP698" i="1" s="1"/>
  <c r="AP721" i="1"/>
  <c r="AP722" i="1" s="1"/>
  <c r="AD722" i="1"/>
  <c r="R728" i="1"/>
  <c r="AC727" i="1"/>
  <c r="AC728" i="1" s="1"/>
  <c r="AC781" i="1"/>
  <c r="AC782" i="1" s="1"/>
  <c r="AP781" i="1"/>
  <c r="AP782" i="1" s="1"/>
  <c r="AC253" i="1"/>
  <c r="AC254" i="1" s="1"/>
  <c r="AP253" i="1"/>
  <c r="AP254" i="1" s="1"/>
  <c r="P283" i="1"/>
  <c r="P284" i="1" s="1"/>
  <c r="P337" i="1"/>
  <c r="P338" i="1" s="1"/>
  <c r="AP373" i="1"/>
  <c r="AP374" i="1" s="1"/>
  <c r="AD374" i="1"/>
  <c r="P385" i="1"/>
  <c r="P386" i="1" s="1"/>
  <c r="D404" i="1"/>
  <c r="P403" i="1"/>
  <c r="P404" i="1" s="1"/>
  <c r="P530" i="1"/>
  <c r="AP541" i="1"/>
  <c r="AP542" i="1" s="1"/>
  <c r="AC547" i="1"/>
  <c r="AC548" i="1" s="1"/>
  <c r="Q548" i="1"/>
  <c r="Q572" i="1"/>
  <c r="AC571" i="1"/>
  <c r="AC572" i="1" s="1"/>
  <c r="AF596" i="1"/>
  <c r="AP595" i="1"/>
  <c r="AP596" i="1" s="1"/>
  <c r="AD614" i="1"/>
  <c r="AC631" i="1"/>
  <c r="AC632" i="1" s="1"/>
  <c r="AC691" i="1"/>
  <c r="AC692" i="1" s="1"/>
  <c r="Q692" i="1"/>
  <c r="AP691" i="1"/>
  <c r="AP692" i="1" s="1"/>
  <c r="AP704" i="1"/>
  <c r="P829" i="1"/>
  <c r="P830" i="1" s="1"/>
  <c r="O830" i="1"/>
  <c r="AC283" i="1"/>
  <c r="AC284" i="1" s="1"/>
  <c r="AP380" i="1"/>
  <c r="P535" i="1"/>
  <c r="P536" i="1" s="1"/>
  <c r="P596" i="1"/>
  <c r="AP631" i="1"/>
  <c r="AC656" i="1"/>
  <c r="D656" i="1"/>
  <c r="Q680" i="1"/>
  <c r="AC679" i="1"/>
  <c r="AC680" i="1" s="1"/>
  <c r="AP679" i="1"/>
  <c r="AG704" i="1"/>
  <c r="P721" i="1"/>
  <c r="P722" i="1" s="1"/>
  <c r="AP865" i="1"/>
  <c r="AF866" i="1"/>
  <c r="P259" i="1"/>
  <c r="P260" i="1" s="1"/>
  <c r="P344" i="1"/>
  <c r="AC362" i="1"/>
  <c r="AP422" i="1"/>
  <c r="P458" i="1"/>
  <c r="AP469" i="1"/>
  <c r="AP470" i="1" s="1"/>
  <c r="AD470" i="1"/>
  <c r="Q488" i="1"/>
  <c r="AC487" i="1"/>
  <c r="AC488" i="1" s="1"/>
  <c r="S554" i="1"/>
  <c r="AC553" i="1"/>
  <c r="AC554" i="1" s="1"/>
  <c r="AB560" i="1"/>
  <c r="AC559" i="1"/>
  <c r="AC560" i="1" s="1"/>
  <c r="AP673" i="1"/>
  <c r="AP674" i="1" s="1"/>
  <c r="AP907" i="1"/>
  <c r="AP908" i="1" s="1"/>
  <c r="P289" i="1"/>
  <c r="P290" i="1" s="1"/>
  <c r="AP313" i="1"/>
  <c r="AP314" i="1" s="1"/>
  <c r="AP355" i="1"/>
  <c r="AP356" i="1" s="1"/>
  <c r="AP368" i="1"/>
  <c r="D386" i="1"/>
  <c r="P397" i="1"/>
  <c r="P398" i="1" s="1"/>
  <c r="D398" i="1"/>
  <c r="AP416" i="1"/>
  <c r="AC458" i="1"/>
  <c r="AC500" i="1"/>
  <c r="P541" i="1"/>
  <c r="AP554" i="1"/>
  <c r="AP559" i="1"/>
  <c r="AP560" i="1" s="1"/>
  <c r="AC565" i="1"/>
  <c r="AC566" i="1" s="1"/>
  <c r="Q662" i="1"/>
  <c r="T734" i="1"/>
  <c r="AC733" i="1"/>
  <c r="AC734" i="1" s="1"/>
  <c r="AP764" i="1"/>
  <c r="Q782" i="1"/>
  <c r="Q254" i="1"/>
  <c r="P434" i="1"/>
  <c r="AC523" i="1"/>
  <c r="AC524" i="1" s="1"/>
  <c r="AP523" i="1"/>
  <c r="AP547" i="1"/>
  <c r="AP548" i="1" s="1"/>
  <c r="AD548" i="1"/>
  <c r="AP553" i="1"/>
  <c r="AP565" i="1"/>
  <c r="AP566" i="1" s="1"/>
  <c r="AD566" i="1"/>
  <c r="AB584" i="1"/>
  <c r="AC583" i="1"/>
  <c r="AC584" i="1" s="1"/>
  <c r="AP619" i="1"/>
  <c r="AP620" i="1" s="1"/>
  <c r="AP632" i="1"/>
  <c r="AP733" i="1"/>
  <c r="AP734" i="1" s="1"/>
  <c r="AD734" i="1"/>
  <c r="L680" i="1"/>
  <c r="P679" i="1"/>
  <c r="P680" i="1" s="1"/>
  <c r="AC721" i="1"/>
  <c r="AC722" i="1" s="1"/>
  <c r="P727" i="1"/>
  <c r="P728" i="1" s="1"/>
  <c r="AP727" i="1"/>
  <c r="AP728" i="1" s="1"/>
  <c r="AP775" i="1"/>
  <c r="AP776" i="1" s="1"/>
  <c r="P824" i="1"/>
  <c r="AC440" i="1"/>
  <c r="AP458" i="1"/>
  <c r="P542" i="1"/>
  <c r="P715" i="1"/>
  <c r="P716" i="1" s="1"/>
  <c r="AP787" i="1"/>
  <c r="AP788" i="1" s="1"/>
  <c r="AP938" i="1"/>
  <c r="AP518" i="1"/>
  <c r="P523" i="1"/>
  <c r="P524" i="1" s="1"/>
  <c r="AC541" i="1"/>
  <c r="AC542" i="1" s="1"/>
  <c r="P577" i="1"/>
  <c r="P578" i="1" s="1"/>
  <c r="P590" i="1"/>
  <c r="V644" i="1"/>
  <c r="AC643" i="1"/>
  <c r="AC644" i="1" s="1"/>
  <c r="AP769" i="1"/>
  <c r="AP770" i="1" s="1"/>
  <c r="AD770" i="1"/>
  <c r="AE836" i="1"/>
  <c r="AP835" i="1"/>
  <c r="AN920" i="1"/>
  <c r="AP919" i="1"/>
  <c r="P746" i="1"/>
  <c r="AC775" i="1"/>
  <c r="AC776" i="1" s="1"/>
  <c r="X776" i="1"/>
  <c r="P464" i="1"/>
  <c r="P710" i="1"/>
  <c r="P799" i="1"/>
  <c r="P800" i="1" s="1"/>
  <c r="AP830" i="1"/>
  <c r="T830" i="1"/>
  <c r="AC829" i="1"/>
  <c r="AC830" i="1" s="1"/>
  <c r="P842" i="1"/>
  <c r="AG854" i="1"/>
  <c r="AP853" i="1"/>
  <c r="AC607" i="1"/>
  <c r="AC608" i="1" s="1"/>
  <c r="AC650" i="1"/>
  <c r="AC710" i="1"/>
  <c r="P769" i="1"/>
  <c r="P770" i="1" s="1"/>
  <c r="K770" i="1"/>
  <c r="AP823" i="1"/>
  <c r="AP824" i="1" s="1"/>
  <c r="AD824" i="1"/>
  <c r="P847" i="1"/>
  <c r="P848" i="1" s="1"/>
  <c r="Q860" i="1"/>
  <c r="AC858" i="1"/>
  <c r="AC853" i="1"/>
  <c r="AC854" i="1" s="1"/>
  <c r="AC871" i="1"/>
  <c r="AC872" i="1" s="1"/>
  <c r="AP715" i="1"/>
  <c r="AP716" i="1" s="1"/>
  <c r="P758" i="1"/>
  <c r="P806" i="1"/>
  <c r="AP829" i="1"/>
  <c r="AC847" i="1"/>
  <c r="AC848" i="1" s="1"/>
  <c r="S860" i="1"/>
  <c r="AC859" i="1"/>
  <c r="P752" i="1"/>
  <c r="AD848" i="1"/>
  <c r="AP846" i="1"/>
  <c r="AP848" i="1" s="1"/>
  <c r="O854" i="1"/>
  <c r="P852" i="1"/>
  <c r="P854" i="1" s="1"/>
  <c r="AC896" i="1"/>
  <c r="AP950" i="1"/>
  <c r="AP841" i="1"/>
  <c r="AC866" i="1"/>
  <c r="AC836" i="1"/>
  <c r="Q854" i="1"/>
  <c r="AP859" i="1"/>
  <c r="AP860" i="1" s="1"/>
  <c r="AP866" i="1"/>
  <c r="AC884" i="1"/>
  <c r="AC746" i="1"/>
  <c r="P818" i="1"/>
  <c r="O996" i="1"/>
  <c r="P996" i="1" s="1"/>
  <c r="O836" i="1"/>
  <c r="AC841" i="1"/>
  <c r="AC842" i="1" s="1"/>
  <c r="AP847" i="1"/>
  <c r="AD872" i="1"/>
  <c r="AP871" i="1"/>
  <c r="AP872" i="1" s="1"/>
  <c r="AP890" i="1"/>
  <c r="AP920" i="1"/>
  <c r="AD836" i="1"/>
  <c r="AP852" i="1"/>
  <c r="AB866" i="1"/>
  <c r="Q996" i="1"/>
  <c r="AC996" i="1" s="1"/>
  <c r="AP836" i="1" l="1"/>
  <c r="L998" i="1"/>
  <c r="AP854" i="1"/>
  <c r="V998" i="1"/>
  <c r="AC860" i="1"/>
  <c r="AH998" i="1"/>
  <c r="O998" i="1"/>
  <c r="T998" i="1"/>
  <c r="AB998" i="1"/>
  <c r="K998" i="1"/>
  <c r="Q998" i="1"/>
  <c r="AC997" i="1"/>
  <c r="AN998" i="1"/>
  <c r="AP997" i="1"/>
  <c r="E998" i="1"/>
  <c r="AE998" i="1"/>
  <c r="AF998" i="1"/>
  <c r="F998" i="1"/>
  <c r="I998" i="1"/>
  <c r="S998" i="1"/>
  <c r="D998" i="1"/>
  <c r="P997" i="1"/>
  <c r="A844" i="1"/>
  <c r="A838" i="1"/>
  <c r="AG998" i="1"/>
  <c r="X998" i="1"/>
  <c r="AD998" i="1"/>
  <c r="AP998" i="1" l="1"/>
  <c r="A850" i="1"/>
  <c r="A856" i="1"/>
  <c r="A862" i="1" s="1"/>
  <c r="A868" i="1" s="1"/>
  <c r="A874" i="1" s="1"/>
  <c r="P998" i="1"/>
  <c r="AC998" i="1"/>
  <c r="A892" i="1" l="1"/>
  <c r="A898" i="1" s="1"/>
  <c r="A904" i="1" s="1"/>
  <c r="A910" i="1" s="1"/>
  <c r="A916" i="1" s="1"/>
  <c r="A922" i="1" s="1"/>
  <c r="A928" i="1" s="1"/>
  <c r="A934" i="1" s="1"/>
  <c r="A940" i="1" s="1"/>
  <c r="A946" i="1" s="1"/>
  <c r="A952" i="1" s="1"/>
  <c r="A886" i="1"/>
  <c r="A880" i="1"/>
</calcChain>
</file>

<file path=xl/sharedStrings.xml><?xml version="1.0" encoding="utf-8"?>
<sst xmlns="http://schemas.openxmlformats.org/spreadsheetml/2006/main" count="874" uniqueCount="317">
  <si>
    <t>CHARTER SCHOOL DEBT RESERVE, INTERCEPT AND TREASURY FEE PAYMENTS</t>
  </si>
  <si>
    <t>CRS 22-30.5-406 AND 22-30.5-407</t>
  </si>
  <si>
    <t>Total FY 22</t>
  </si>
  <si>
    <t>Total FY 23</t>
  </si>
  <si>
    <t>Total FY 24</t>
  </si>
  <si>
    <t>**</t>
  </si>
  <si>
    <t>Littleton Academy Charter School (#5229014007A)</t>
  </si>
  <si>
    <t>Debt Reserve</t>
  </si>
  <si>
    <t>Treasury Fee</t>
  </si>
  <si>
    <t>Intercept</t>
  </si>
  <si>
    <t>Total for Littleton Academy Charter School</t>
  </si>
  <si>
    <t>Belle Creek Charter School (#0700004008A)</t>
  </si>
  <si>
    <t>Total for Belle Creek Charter School</t>
  </si>
  <si>
    <t>James Madison Charter Academy (#5033099008A)</t>
  </si>
  <si>
    <t>Total for James Madison Charter Academy</t>
  </si>
  <si>
    <t>Community Leadership Academy (#1882003008A)</t>
  </si>
  <si>
    <t>Total for Community Leadership Academy</t>
  </si>
  <si>
    <t>Colorado Springs Charter Academy (#1791999910A)</t>
  </si>
  <si>
    <t>Total for Colorado Springs Charter Academy</t>
  </si>
  <si>
    <t>Global Village Academy (#3471018011A)</t>
  </si>
  <si>
    <t>Total for Global Village Academy</t>
  </si>
  <si>
    <t>Twin Peaks Charter Academy (#8927047011A)</t>
  </si>
  <si>
    <t>Total for Twin Peaks Charter Academy</t>
  </si>
  <si>
    <t>Cherry Creek Academy Inc. (#1571013012A)</t>
  </si>
  <si>
    <t>Total for Cherry Creek Academy Inc.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</si>
  <si>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</si>
  <si>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</si>
  <si>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</si>
  <si>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</si>
  <si>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Littleton Preparatory Charter School (#5233014013A)</t>
  </si>
  <si>
    <t>Total for Littleton Preparatory Charter School</t>
  </si>
  <si>
    <t>Pinnacle Charter School (#0654800113A)</t>
  </si>
  <si>
    <t>Total for Pinnacle Charter School</t>
  </si>
  <si>
    <t>Aurora Academy (#0458018013A)</t>
  </si>
  <si>
    <t>Total for Aurora Academy</t>
  </si>
  <si>
    <t>Community Leadership Academy (#1882800114A)</t>
  </si>
  <si>
    <t>Liberty Common School (#5120155014A)</t>
  </si>
  <si>
    <t>Total for Liberty Common School</t>
  </si>
  <si>
    <t>Ridgeview Classical Schools (#0146155015A)</t>
  </si>
  <si>
    <t>Total for Ridgeview Classical Schools</t>
  </si>
  <si>
    <t>Swallows Charter Academy (#8420270015A)</t>
  </si>
  <si>
    <t>Total for Swallows Charter Academy</t>
  </si>
  <si>
    <t>Skyview Academy (#6365090015A)</t>
  </si>
  <si>
    <t>Total for Skyview Academy</t>
  </si>
  <si>
    <t>Peak to Peak (#6816048015A)</t>
  </si>
  <si>
    <t>Total for Peak to Peak</t>
  </si>
  <si>
    <t>Twin Peaks Charter Academy (#8927047015A)</t>
  </si>
  <si>
    <t>Classical Academy (#1627104015A)</t>
  </si>
  <si>
    <t>Total for Classical Academy</t>
  </si>
  <si>
    <t>Independence Academy (#2128200015A)</t>
  </si>
  <si>
    <t>Total for Independence Academy</t>
  </si>
  <si>
    <t>STEM School (#5259090015A)</t>
  </si>
  <si>
    <t>Total for STEM School</t>
  </si>
  <si>
    <t>Global Village Academy (#3471018015A)</t>
  </si>
  <si>
    <t>Monument Academy (#5093108015A)</t>
  </si>
  <si>
    <t>Total for Monument Academy</t>
  </si>
  <si>
    <t>Classical Academy (#1627104015B)</t>
  </si>
  <si>
    <t>University Laboratory School (#2850312015A)</t>
  </si>
  <si>
    <t>Total for University Labortory School</t>
  </si>
  <si>
    <t>Atlas Prepatory School (#0469098015A)</t>
  </si>
  <si>
    <t>Total for Atlas Prepatory School</t>
  </si>
  <si>
    <t>Aspen Ridge School (#0071047015A)</t>
  </si>
  <si>
    <t>Total for Aspen Ridge School</t>
  </si>
  <si>
    <t>Bromley East Charter School (#1052004016A)</t>
  </si>
  <si>
    <t>Total for Bromley East Charter School</t>
  </si>
  <si>
    <t>Monarch Montessori (#5621088016A)</t>
  </si>
  <si>
    <t>Total for Monarch Montessori</t>
  </si>
  <si>
    <t>Two Roads Charter School (#8793142016A)</t>
  </si>
  <si>
    <t>Total for Two Roads Charter School</t>
  </si>
  <si>
    <t>Ben Franklin Academy (#0135090016A)</t>
  </si>
  <si>
    <t>Total for Ben Franklin Academy</t>
  </si>
  <si>
    <t>Westgate Community School (#9431002016A)</t>
  </si>
  <si>
    <t>Total for Westgate Community School</t>
  </si>
  <si>
    <t>Vanguard School (#1582102016A)</t>
  </si>
  <si>
    <t>Total for Vanguard School</t>
  </si>
  <si>
    <t>Academy Charter School (#0011090016A)</t>
  </si>
  <si>
    <t>Total for Academy Charter School</t>
  </si>
  <si>
    <t>Flagstaff Academy (#2964047016A)</t>
  </si>
  <si>
    <t>Total for Flagstaff Academy</t>
  </si>
  <si>
    <t>Parker Core Knowledge (#1873090017A)</t>
  </si>
  <si>
    <t>Total for Parker Core Knowledge</t>
  </si>
  <si>
    <t>Global Village Academy (#3471018017A)</t>
  </si>
  <si>
    <t>Frontier Academy (#1875312017A)</t>
  </si>
  <si>
    <t>Total for Frontier Academy</t>
  </si>
  <si>
    <t>Excel Academy (#2799142017A)</t>
  </si>
  <si>
    <t>Total for Excel Academy</t>
  </si>
  <si>
    <t>Loveland Classical Schools (#5235156017A)</t>
  </si>
  <si>
    <t>Total for Loveland Classical Schools</t>
  </si>
  <si>
    <t>Windsor Charter Academy (9665310017A)</t>
  </si>
  <si>
    <t>Total for Windsor Charter Academy</t>
  </si>
  <si>
    <t>Banning Lewis Ranch Academy (0555111017A)</t>
  </si>
  <si>
    <t>Total for Banning Lewis Ranch Academy</t>
  </si>
  <si>
    <t>Eagle Ridge Academy (2399004017A)</t>
  </si>
  <si>
    <t>Total for Eagle Ridge Academy</t>
  </si>
  <si>
    <t>Platte River Academy (7047090017A)</t>
  </si>
  <si>
    <t>Total for Platte River Academy</t>
  </si>
  <si>
    <t>North Star Academy (1579090017A)</t>
  </si>
  <si>
    <t>Total for North Star Academy</t>
  </si>
  <si>
    <t>Renaissance Secondary School (7244090017A)</t>
  </si>
  <si>
    <t>Total for Renaissance Secondary School</t>
  </si>
  <si>
    <t>Challenge to  Excellence (1512090017A)</t>
  </si>
  <si>
    <t>Total for Challenge to Excellence</t>
  </si>
  <si>
    <t>Early College of Arvada (2837800117A)</t>
  </si>
  <si>
    <t>Total for Early College of Arvada</t>
  </si>
  <si>
    <t>World Compass Academy (9397090018A)</t>
  </si>
  <si>
    <t>Total for World Compass Academy</t>
  </si>
  <si>
    <t>Carbon Valley Academy (1284047018A)</t>
  </si>
  <si>
    <t>Total for Carbon Valley Academy</t>
  </si>
  <si>
    <t>Union Colony School (8965312018A)</t>
  </si>
  <si>
    <t>Total for Union Colony School</t>
  </si>
  <si>
    <t>Lotus School for Excellence (5298018018A)</t>
  </si>
  <si>
    <t>Total for Lotus School for Excellence</t>
  </si>
  <si>
    <t>New Vision Charter School (6220156018A)</t>
  </si>
  <si>
    <t>Total for New Vision Charter School</t>
  </si>
  <si>
    <t>Global Village Academy (3471018018A)</t>
  </si>
  <si>
    <t>Grand Peak Academy (formerly Imagine Indigo Ranch) (4251111019A)</t>
  </si>
  <si>
    <t>Total for Grand Peak Academy (formerly Imagine Indigo Ranch)</t>
  </si>
  <si>
    <t>Stargate Charter School (1519002019A)</t>
  </si>
  <si>
    <t>Total for Stargate Charter School</t>
  </si>
  <si>
    <t>Highline Academy Charter School (3987088019A)</t>
  </si>
  <si>
    <t>Total for Highline Academy Charter School</t>
  </si>
  <si>
    <t>New America School (4699002019A)</t>
  </si>
  <si>
    <t>Total for New America School</t>
  </si>
  <si>
    <t>Caprock Academy (1279800119A)</t>
  </si>
  <si>
    <t>Total for Caprock Academy</t>
  </si>
  <si>
    <t>Legacy Academy (2572092019A)</t>
  </si>
  <si>
    <t>Total for Legacy Academy</t>
  </si>
  <si>
    <t>Colorado Early Colleges - Parker (2196800120B)</t>
  </si>
  <si>
    <t>Total for Colorado Early Colleges - Parker</t>
  </si>
  <si>
    <t>Colorado Early Colleges - Fort Collins West (2067800119A)</t>
  </si>
  <si>
    <t>Total for Colorado Early Colleges - Fort Collins</t>
  </si>
  <si>
    <t>Colorado Early Colleges - Fort Collins Bidg Corp (2067800119B)</t>
  </si>
  <si>
    <t>Colorado Springs Early Colleges - Windsor (1795800119A)</t>
  </si>
  <si>
    <t>Total for Colorado Springs Early Colleges</t>
  </si>
  <si>
    <t>Colorado Springs Early Colleges - CSEC (1795800119B)</t>
  </si>
  <si>
    <t>West Ridge Academy Charter School (9611312020A)</t>
  </si>
  <si>
    <t>Total for West Ridge Academy Charter School</t>
  </si>
  <si>
    <t>Crown Pointe Academy (2035800120A)</t>
  </si>
  <si>
    <t>Total for Crown Pointe Academy</t>
  </si>
  <si>
    <t>Monument Academy Secondary School (5093108020A)</t>
  </si>
  <si>
    <t>Total for Monument Academy Secondary School</t>
  </si>
  <si>
    <t>A</t>
  </si>
  <si>
    <t>James Irwin Charter High School (4378098020A)</t>
  </si>
  <si>
    <t>Total for James Irwin Charter High School</t>
  </si>
  <si>
    <t>B</t>
  </si>
  <si>
    <t>James Irwin Charter Middle School (4378098020A)</t>
  </si>
  <si>
    <t>Total for James Irwin Charter Middle School</t>
  </si>
  <si>
    <t>C</t>
  </si>
  <si>
    <t>James Irwin Charter Elementary School (4378098020A)</t>
  </si>
  <si>
    <t>Total for James Irwin Charter Elementary School</t>
  </si>
  <si>
    <t>James Irwin Charter Academy (4403800120A)</t>
  </si>
  <si>
    <t>Total for James Irwin Charter Academy</t>
  </si>
  <si>
    <t>Power Technical Early College (6653111020A)</t>
  </si>
  <si>
    <t>Total for Power Technical Early College</t>
  </si>
  <si>
    <t>New Summit Charter Academy (6242104020A)</t>
  </si>
  <si>
    <t>Total for New Summit Charter Academy</t>
  </si>
  <si>
    <t>Leman Classical School (5225090020A)</t>
  </si>
  <si>
    <t>Total for Leman Classical School</t>
  </si>
  <si>
    <t>Colorado Early Colleges - Aurora (1633800120A)</t>
  </si>
  <si>
    <t>Total for Colorado Early Colleges - Aurora</t>
  </si>
  <si>
    <t>Rocky Mountain Classical Academy (#7463111020A)</t>
  </si>
  <si>
    <t>Total for Rocky Mountain Classical Academy</t>
  </si>
  <si>
    <t>Colorado Skies Academy (#0188013020A)</t>
  </si>
  <si>
    <t>Total for Colorado Skies Academy</t>
  </si>
  <si>
    <t>STEM School (#5259090020A)</t>
  </si>
  <si>
    <t>Fort Collins Montessori School (#3242155020A)</t>
  </si>
  <si>
    <t>Total for Fort Collins Montessori School</t>
  </si>
  <si>
    <t>Colorado Early Colleges Parker (#2196800120C)</t>
  </si>
  <si>
    <t>Total for Colorado Early Colleges Parker</t>
  </si>
  <si>
    <t>Two Rivers Community School (#8821800120A)</t>
  </si>
  <si>
    <t>Total for Two Rivers Community School</t>
  </si>
  <si>
    <t>Salida del Sol Academy (#8467312020A)</t>
  </si>
  <si>
    <t>Total for Salida del Sol Academy</t>
  </si>
  <si>
    <t>Prospect Ridge Academy (#6802002020A)</t>
  </si>
  <si>
    <t>Total for Prospect Ridge Academy</t>
  </si>
  <si>
    <t>The Juniper School (#4384152020A)</t>
  </si>
  <si>
    <t>Total for The Juniper School</t>
  </si>
  <si>
    <t>Golden View Classical Academy (#3393800120A)</t>
  </si>
  <si>
    <t>Total for Golden View Classical Academy</t>
  </si>
  <si>
    <t>Addenbrooke Classical Academy (#1451142020A)</t>
  </si>
  <si>
    <t>Total for Addenbrooke Classical Academy</t>
  </si>
  <si>
    <t>American Academy (#0215090020A)</t>
  </si>
  <si>
    <t>Total for American Academy</t>
  </si>
  <si>
    <t>Academy of Charter Schools (#0015800120A)</t>
  </si>
  <si>
    <t>Total for Academy of Charter Schools</t>
  </si>
  <si>
    <t>Firestone Charter Academy (f/k/a Imagine Charter School) (#4333047020A)</t>
  </si>
  <si>
    <t>Total for Imagine Charter School</t>
  </si>
  <si>
    <t>Thomas MacLaren State Charter School (#8825800120A)</t>
  </si>
  <si>
    <t>Total for Thomas MacLaren State Charter School</t>
  </si>
  <si>
    <t>Parker Performing Arts (#6719090021A)</t>
  </si>
  <si>
    <t>Total for Parker Performing Arts</t>
  </si>
  <si>
    <t>Independence Academy (#2128200021A)</t>
  </si>
  <si>
    <t>Academy of Advanced Learning (#0126018021A)</t>
  </si>
  <si>
    <t>Total for Academy of Advanced Learning</t>
  </si>
  <si>
    <t>Windsor Charter Academy (#9665310021A)</t>
  </si>
  <si>
    <t>Liberty Tree Academy (#5191111021A)</t>
  </si>
  <si>
    <t>Total for Liberty Tree Academy</t>
  </si>
  <si>
    <t>Montessori Peaks Academy (#5994142021A)</t>
  </si>
  <si>
    <t>Total for Montessori Peaks Academy</t>
  </si>
  <si>
    <t>Chavez/Huerta K-12 Preparatory Academy (#1488269021A)</t>
  </si>
  <si>
    <t>Total for Chavez/Huerta K-12 Preparatory Academy</t>
  </si>
  <si>
    <t>Vanguard Classical School - East (#9189018021A)</t>
  </si>
  <si>
    <t>Total for Vanguard Classical School - East</t>
  </si>
  <si>
    <t>Collegiate Academy of Colorado (#7701142021A)</t>
  </si>
  <si>
    <t>Total for Collegiate Academy of Colorado</t>
  </si>
  <si>
    <t>Swallows Charter Academy (#8420270021A)</t>
  </si>
  <si>
    <t>Global Village Academy - Northglenn (#3439800121A)</t>
  </si>
  <si>
    <t>Total for Global Village Academy - Northglenn</t>
  </si>
  <si>
    <t>Rocky Mountain Academy of Evergreen (#7462142021A)</t>
  </si>
  <si>
    <t>Total for Rocky Mountain Academy of Evergreen</t>
  </si>
  <si>
    <t>Pinnacle Charter School (#0654800121A)</t>
  </si>
  <si>
    <t>Heritage Heights Academy (#4189013021A)</t>
  </si>
  <si>
    <t>Total for Heritage Heights Academy</t>
  </si>
  <si>
    <t>Villa Bella School (#9084270021A)</t>
  </si>
  <si>
    <t>Total for Villa Bella School</t>
  </si>
  <si>
    <t>Lincoln Academy (#5145142021A)</t>
  </si>
  <si>
    <t>Total for Lincoln Academy</t>
  </si>
  <si>
    <t>Pikes Peak School of Expeditionary Learning (#6935111021A)</t>
  </si>
  <si>
    <t>Total for Pikes Peak School of Expeditionary Learning</t>
  </si>
  <si>
    <t>Aspen View Academy (#6019090021A)</t>
  </si>
  <si>
    <t>Total for Aspen View Academy</t>
  </si>
  <si>
    <t>Vega Collegiate Academy (#9053018022A)</t>
  </si>
  <si>
    <t>Total for Vega Collegiate Academy</t>
  </si>
  <si>
    <t>Jefferson Academy (#4402142022A)</t>
  </si>
  <si>
    <t>Total for Jefferson Academy</t>
  </si>
  <si>
    <t>Denver School of Science &amp; Technology (#2145088022A)</t>
  </si>
  <si>
    <t>Total for Denver School of Science &amp; Technology</t>
  </si>
  <si>
    <t>High Point Academy (#0655800122A)</t>
  </si>
  <si>
    <t>Total for High Point Academy</t>
  </si>
  <si>
    <t>Colorado Military Academy (#1505800122A)</t>
  </si>
  <si>
    <t>Total for Colorado Military Academy</t>
  </si>
  <si>
    <t>New Summit Charter Academy (#6242104022A)</t>
  </si>
  <si>
    <t>Westgate Community School (#9431002022A)</t>
  </si>
  <si>
    <t>Banning Lewis Ranch Academy (#0555111022A)</t>
  </si>
  <si>
    <t>Windsor Charter Academy (#9665310022A)</t>
  </si>
  <si>
    <t>STEM School (#5259090022A)</t>
  </si>
  <si>
    <t>Pioneer Technology and Arts Academy (#1275111022A)</t>
  </si>
  <si>
    <t>Total for Pioneer Technology and Arts Academy</t>
  </si>
  <si>
    <t>Global Village Academy - Aurora (#3471018022A)</t>
  </si>
  <si>
    <t>Total for Global Village Academy - Aurora</t>
  </si>
  <si>
    <t>Global Village Academy - Aurora (#3471018022B)</t>
  </si>
  <si>
    <t>Coperni 3 (#5431800122A) [was Coperni 2 but merged w/Coperni 3]</t>
  </si>
  <si>
    <t>Total for Coperni 2</t>
  </si>
  <si>
    <t>Coperni 3 (#5431800122B) [was Coperni 2 but merged w/Coperni 3]</t>
  </si>
  <si>
    <t>Grand Peak Academy (#4251111022A)</t>
  </si>
  <si>
    <t>Total for Grand Peak Academy</t>
  </si>
  <si>
    <t>Golden View Classical Academy (#3393880122A)</t>
  </si>
  <si>
    <t>Littleton Academy (#5229014022A)</t>
  </si>
  <si>
    <t>Total for Littleton Academy</t>
  </si>
  <si>
    <t>New Vision Charter School (#6220156022A)</t>
  </si>
  <si>
    <t>Doral Academy (#2189142022A)</t>
  </si>
  <si>
    <t>Total for Doral Academy</t>
  </si>
  <si>
    <t>Knowledge Quest Academy (#4785311022A)</t>
  </si>
  <si>
    <t>Total for Knowledge Quest Academy</t>
  </si>
  <si>
    <t>CIVICA Colorado (#6226311022A)</t>
  </si>
  <si>
    <t>Total for CIVICA Colorado</t>
  </si>
  <si>
    <t>Chavez/Huerta K-12 Preparatory Academy (#1488269022A)</t>
  </si>
  <si>
    <t>Total for Chavez/Huerty K-12 Preparatory Academy</t>
  </si>
  <si>
    <t>Mountain Sage Community School (#5917155022A)</t>
  </si>
  <si>
    <t>Total for Mountain Sage Community School</t>
  </si>
  <si>
    <t>Mountain Song Community School (#5851800122A)</t>
  </si>
  <si>
    <t>Total for Mountain Song Community School</t>
  </si>
  <si>
    <t>Belle Creek Charter School (#0700004022A)</t>
  </si>
  <si>
    <t>Colorado Early Colleges Aurora (#1633800122A)</t>
  </si>
  <si>
    <t>Total for Colorado Early Colleges Aurora</t>
  </si>
  <si>
    <t>Colorado Early Colleges Douglas (SC#2196)</t>
  </si>
  <si>
    <t>Total for Colorado Early Colleges Douglas</t>
  </si>
  <si>
    <t>Colorado Springs Early Colleges (#1795800122A)</t>
  </si>
  <si>
    <t>Colorado Early Colleges Ft Collins (SC#2067)</t>
  </si>
  <si>
    <t>Total for Colorado Early Colleges Ft Collins</t>
  </si>
  <si>
    <t>Colorado Early Colleges Windsor (SC#1387)</t>
  </si>
  <si>
    <t>Total for Colorado Early Colleges Windsor</t>
  </si>
  <si>
    <t>Challenge to Excellence Charter School (#1512090023A)</t>
  </si>
  <si>
    <t>Total for Challenge to Excellence Charter School</t>
  </si>
  <si>
    <t>Eagle Ridge Academy (#2399004023A)</t>
  </si>
  <si>
    <t>James Irwin Charter High School (4378098023A)</t>
  </si>
  <si>
    <t>James Irwin Charter Middle School (4378098023A)</t>
  </si>
  <si>
    <t>James Irwin Charter Elementary School (4378098023A)</t>
  </si>
  <si>
    <t>James Irwin Charter Academy (4403800123A)</t>
  </si>
  <si>
    <t>Power Technical Early College (#6653111023A)</t>
  </si>
  <si>
    <t>Global Village Academy - Douglas (#3327090023A)</t>
  </si>
  <si>
    <t>Total for Global Village Academy - Douglas</t>
  </si>
  <si>
    <t>Fort Collins Montessori School (#3242155023A)</t>
  </si>
  <si>
    <t>Highline Academy Charter School (#3987088023A)</t>
  </si>
  <si>
    <t>Leman Classical School (#5225090023A)</t>
  </si>
  <si>
    <t>Mountain Phoenix Community School (#6139142023A)</t>
  </si>
  <si>
    <t>Loveland Classical Schools (#5235156023A)</t>
  </si>
  <si>
    <t>Renaissance Secondary School (7244090024A)</t>
  </si>
  <si>
    <t>Ascent Classical Academy of Grand Junction (2905800124A)</t>
  </si>
  <si>
    <t>Total for Ascent Classical Academy of Grand Junction</t>
  </si>
  <si>
    <t>Ascent Classical Academy of Grand Junction (2905800124B)</t>
  </si>
  <si>
    <t>Colorado Skies Academy (0188013024A)</t>
  </si>
  <si>
    <t>Pioneer Technology and Arts Academy (1275111024A)</t>
  </si>
  <si>
    <t>Villa Bella Expeditionary School (9084270024A)</t>
  </si>
  <si>
    <t>Total for Villa Bella Expeditionary School</t>
  </si>
  <si>
    <t>Rocky Mountain Classical Academy (#7463111024A)</t>
  </si>
  <si>
    <t>Total for Rocky Mountain Classical School</t>
  </si>
  <si>
    <t xml:space="preserve"> STEAD School (#64000040224A)</t>
  </si>
  <si>
    <t>Total for The STEAD School</t>
  </si>
  <si>
    <t>Stone Creek School (#0653800124A)</t>
  </si>
  <si>
    <t xml:space="preserve">Total for Stone Creek </t>
  </si>
  <si>
    <t>Summary</t>
  </si>
  <si>
    <t>Debt Reserve  (8040 WAAA)</t>
  </si>
  <si>
    <t>Treasury Fee  (17F0 WAAA)</t>
  </si>
  <si>
    <t>Intercept  (9410 WAAA)</t>
  </si>
  <si>
    <r>
      <t>Total for all payments</t>
    </r>
    <r>
      <rPr>
        <sz val="10"/>
        <rFont val="Arial"/>
        <family val="2"/>
      </rPr>
      <t xml:space="preserve">  (1130 DAAA)</t>
    </r>
  </si>
  <si>
    <t>*</t>
  </si>
  <si>
    <t>SD revoked charter / Charter closed</t>
  </si>
  <si>
    <t>Advance refunded</t>
  </si>
  <si>
    <t>***</t>
  </si>
  <si>
    <t>Payment schedule combined with schedule for a later issuance</t>
  </si>
  <si>
    <t>Intercepted Windsor's 2016 pymt instead of 2020 pymt; bank applied $34,350 to 2020 &amp; returned $67,531.25 to school.</t>
  </si>
  <si>
    <t>Belle Creek's 2007 intercept amt was returned to us by the bank, and we returned it to Belle Creek; however, the Debt Reserve Fee did not get returned.  Therefore, reducing their SEP intercept amt on the 2022 issuance.</t>
  </si>
  <si>
    <t>Per CEC's CFO, corrected split percentages in DEC and adjusted for JUL-NOV.</t>
  </si>
  <si>
    <t>Intercept sent to bank according to original intercept schedule; bank did not reject it.</t>
  </si>
  <si>
    <t>Intercept sent to bank according to original intercept schedule; bank rejected it, so sent wire to the school.</t>
  </si>
  <si>
    <t>Received revised intercept schedule 11/15/23.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</si>
</sst>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44" fontId="3" fillId="0" borderId="0" xfId="0" applyNumberFormat="1" applyFont="1" applyAlignment="1">
      <alignment horizontal="center" wrapText="1"/>
    </xf>
    <xf numFmtId="44" fontId="2" fillId="0" borderId="0" xfId="0" applyNumberFormat="1" applyFont="1" applyAlignment="1">
      <alignment wrapText="1"/>
    </xf>
    <xf numFmtId="164" fontId="4" fillId="0" borderId="0" xfId="0" applyNumberFormat="1" applyFont="1"/>
    <xf numFmtId="44" fontId="4" fillId="0" borderId="0" xfId="0" quotePrefix="1" applyNumberFormat="1" applyFont="1" applyAlignment="1">
      <alignment horizontal="right" wrapText="1"/>
    </xf>
    <xf numFmtId="43" fontId="0" fillId="0" borderId="0" xfId="0" applyNumberFormat="1"/>
    <xf numFmtId="0" fontId="5" fillId="2" borderId="0" xfId="0" applyFont="1" applyFill="1" applyAlignment="1">
      <alignment horizontal="right"/>
    </xf>
    <xf numFmtId="43" fontId="4" fillId="3" borderId="0" xfId="0" applyNumberFormat="1" applyFont="1" applyFill="1"/>
    <xf numFmtId="43" fontId="0" fillId="0" borderId="0" xfId="1" applyFont="1"/>
    <xf numFmtId="39" fontId="0" fillId="0" borderId="0" xfId="0" applyNumberFormat="1"/>
    <xf numFmtId="43" fontId="2" fillId="0" borderId="1" xfId="0" applyNumberFormat="1" applyFont="1" applyBorder="1" applyAlignment="1">
      <alignment horizontal="center"/>
    </xf>
    <xf numFmtId="39" fontId="2" fillId="0" borderId="2" xfId="0" applyNumberFormat="1" applyFont="1" applyBorder="1"/>
    <xf numFmtId="43" fontId="2" fillId="0" borderId="0" xfId="0" applyNumberFormat="1" applyFont="1" applyAlignment="1">
      <alignment horizontal="center"/>
    </xf>
    <xf numFmtId="43" fontId="4" fillId="3" borderId="0" xfId="0" quotePrefix="1" applyNumberFormat="1" applyFont="1" applyFill="1" applyAlignment="1">
      <alignment horizontal="left"/>
    </xf>
    <xf numFmtId="43" fontId="1" fillId="4" borderId="0" xfId="1" applyFont="1" applyFill="1"/>
    <xf numFmtId="43" fontId="2" fillId="0" borderId="1" xfId="0" quotePrefix="1" applyNumberFormat="1" applyFont="1" applyBorder="1" applyAlignment="1">
      <alignment horizontal="center"/>
    </xf>
    <xf numFmtId="39" fontId="2" fillId="4" borderId="2" xfId="0" applyNumberFormat="1" applyFont="1" applyFill="1" applyBorder="1"/>
    <xf numFmtId="0" fontId="2" fillId="0" borderId="0" xfId="0" quotePrefix="1" applyFont="1" applyAlignment="1">
      <alignment horizontal="center"/>
    </xf>
    <xf numFmtId="43" fontId="4" fillId="0" borderId="0" xfId="0" quotePrefix="1" applyNumberFormat="1" applyFont="1" applyAlignment="1">
      <alignment horizontal="left"/>
    </xf>
    <xf numFmtId="43" fontId="2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right" vertical="center"/>
    </xf>
    <xf numFmtId="43" fontId="4" fillId="0" borderId="0" xfId="0" applyNumberFormat="1" applyFont="1"/>
    <xf numFmtId="43" fontId="0" fillId="0" borderId="0" xfId="1" applyFont="1" applyFill="1"/>
    <xf numFmtId="0" fontId="5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/>
    </xf>
    <xf numFmtId="39" fontId="0" fillId="4" borderId="0" xfId="0" applyNumberFormat="1" applyFill="1"/>
    <xf numFmtId="43" fontId="0" fillId="0" borderId="0" xfId="1" applyFont="1" applyFill="1" applyBorder="1" applyAlignment="1"/>
    <xf numFmtId="39" fontId="2" fillId="0" borderId="0" xfId="0" applyNumberFormat="1" applyFont="1"/>
    <xf numFmtId="0" fontId="0" fillId="4" borderId="0" xfId="0" applyFill="1"/>
    <xf numFmtId="39" fontId="0" fillId="5" borderId="0" xfId="0" applyNumberFormat="1" applyFill="1"/>
    <xf numFmtId="4" fontId="0" fillId="0" borderId="0" xfId="0" applyNumberFormat="1"/>
    <xf numFmtId="39" fontId="1" fillId="0" borderId="0" xfId="0" applyNumberFormat="1" applyFont="1"/>
    <xf numFmtId="43" fontId="2" fillId="0" borderId="0" xfId="0" applyNumberFormat="1" applyFont="1" applyAlignment="1">
      <alignment horizontal="left"/>
    </xf>
    <xf numFmtId="43" fontId="1" fillId="0" borderId="0" xfId="0" applyNumberFormat="1" applyFont="1" applyAlignment="1">
      <alignment horizontal="left"/>
    </xf>
    <xf numFmtId="4" fontId="0" fillId="0" borderId="0" xfId="1" applyNumberFormat="1" applyFont="1"/>
    <xf numFmtId="43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/>
    <xf numFmtId="4" fontId="0" fillId="0" borderId="2" xfId="0" applyNumberFormat="1" applyBorder="1"/>
    <xf numFmtId="4" fontId="0" fillId="0" borderId="0" xfId="1" applyNumberFormat="1" applyFont="1" applyFill="1"/>
    <xf numFmtId="39" fontId="4" fillId="0" borderId="0" xfId="0" applyNumberFormat="1" applyFont="1"/>
    <xf numFmtId="43" fontId="2" fillId="0" borderId="0" xfId="0" applyNumberFormat="1" applyFont="1"/>
    <xf numFmtId="0" fontId="5" fillId="6" borderId="0" xfId="0" applyFont="1" applyFill="1" applyAlignment="1">
      <alignment horizontal="right"/>
    </xf>
    <xf numFmtId="43" fontId="2" fillId="6" borderId="0" xfId="0" quotePrefix="1" applyNumberFormat="1" applyFont="1" applyFill="1" applyAlignment="1">
      <alignment horizontal="left"/>
    </xf>
    <xf numFmtId="43" fontId="2" fillId="2" borderId="0" xfId="0" applyNumberFormat="1" applyFont="1" applyFill="1"/>
    <xf numFmtId="0" fontId="5" fillId="7" borderId="0" xfId="0" applyFont="1" applyFill="1" applyAlignment="1">
      <alignment horizontal="right"/>
    </xf>
    <xf numFmtId="0" fontId="2" fillId="7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8" borderId="0" xfId="0" applyFill="1"/>
    <xf numFmtId="164" fontId="4" fillId="8" borderId="0" xfId="0" applyNumberFormat="1" applyFont="1" applyFill="1"/>
    <xf numFmtId="39" fontId="0" fillId="8" borderId="0" xfId="0" applyNumberFormat="1" applyFill="1"/>
    <xf numFmtId="43" fontId="0" fillId="8" borderId="0" xfId="1" applyFont="1" applyFill="1"/>
    <xf numFmtId="39" fontId="2" fillId="8" borderId="2" xfId="0" applyNumberFormat="1" applyFont="1" applyFill="1" applyBorder="1"/>
    <xf numFmtId="39" fontId="2" fillId="8" borderId="0" xfId="0" applyNumberFormat="1" applyFont="1" applyFill="1"/>
    <xf numFmtId="4" fontId="0" fillId="8" borderId="0" xfId="0" applyNumberFormat="1" applyFill="1"/>
    <xf numFmtId="39" fontId="1" fillId="8" borderId="0" xfId="0" applyNumberFormat="1" applyFont="1" applyFill="1"/>
    <xf numFmtId="4" fontId="0" fillId="8" borderId="0" xfId="1" applyNumberFormat="1" applyFont="1" applyFill="1"/>
    <xf numFmtId="4" fontId="2" fillId="8" borderId="2" xfId="0" applyNumberFormat="1" applyFont="1" applyFill="1" applyBorder="1"/>
    <xf numFmtId="4" fontId="0" fillId="8" borderId="2" xfId="0" applyNumberFormat="1" applyFill="1" applyBorder="1"/>
    <xf numFmtId="39" fontId="4" fillId="8" borderId="0" xfId="0" applyNumberFormat="1" applyFont="1" applyFill="1"/>
    <xf numFmtId="0" fontId="6" fillId="3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050"/>
  <sheetViews>
    <sheetView tabSelected="1" zoomScaleNormal="100" zoomScaleSheetLayoutView="100" zoomScalePageLayoutView="75" workbookViewId="0">
      <pane xSplit="3" ySplit="2" topLeftCell="AO989" activePane="bottomRight" state="frozen"/>
      <selection pane="topRight" activeCell="D1" sqref="D1"/>
      <selection pane="bottomLeft" activeCell="A3" sqref="A3"/>
      <selection pane="bottomRight" activeCell="AP1" sqref="AD1:AP1048576"/>
    </sheetView>
  </sheetViews>
  <sheetFormatPr defaultRowHeight="13" x14ac:dyDescent="0.3"/>
  <cols>
    <col min="1" max="1" width="5.7265625" style="1" customWidth="1"/>
    <col min="2" max="2" width="4.7265625" style="1" customWidth="1"/>
    <col min="3" max="3" width="89.81640625" customWidth="1"/>
    <col min="4" max="15" width="15.453125" customWidth="1"/>
    <col min="16" max="16" width="16.7265625" customWidth="1"/>
    <col min="17" max="28" width="15.453125" customWidth="1"/>
    <col min="29" max="29" width="18.1796875" customWidth="1"/>
    <col min="30" max="35" width="15.453125" customWidth="1"/>
    <col min="36" max="40" width="15.453125" bestFit="1" customWidth="1"/>
    <col min="41" max="41" width="15.453125" style="53" bestFit="1" customWidth="1"/>
    <col min="42" max="42" width="18.1796875" bestFit="1" customWidth="1"/>
    <col min="43" max="44" width="10.7265625" bestFit="1" customWidth="1"/>
  </cols>
  <sheetData>
    <row r="1" spans="1:42" ht="50.15" customHeight="1" x14ac:dyDescent="0.35">
      <c r="C1" s="2" t="s">
        <v>0</v>
      </c>
    </row>
    <row r="2" spans="1:42" ht="25.5" customHeight="1" x14ac:dyDescent="0.35">
      <c r="C2" s="3" t="s">
        <v>1</v>
      </c>
      <c r="D2" s="4">
        <v>44378</v>
      </c>
      <c r="E2" s="4">
        <v>44409</v>
      </c>
      <c r="F2" s="4">
        <v>44440</v>
      </c>
      <c r="G2" s="4">
        <v>44470</v>
      </c>
      <c r="H2" s="4">
        <v>44501</v>
      </c>
      <c r="I2" s="4">
        <v>44531</v>
      </c>
      <c r="J2" s="4">
        <v>44562</v>
      </c>
      <c r="K2" s="4">
        <v>44593</v>
      </c>
      <c r="L2" s="4">
        <v>44621</v>
      </c>
      <c r="M2" s="4">
        <v>44652</v>
      </c>
      <c r="N2" s="4">
        <v>44682</v>
      </c>
      <c r="O2" s="4">
        <v>44713</v>
      </c>
      <c r="P2" s="5" t="s">
        <v>2</v>
      </c>
      <c r="Q2" s="4">
        <v>44743</v>
      </c>
      <c r="R2" s="4">
        <v>44774</v>
      </c>
      <c r="S2" s="4">
        <v>44805</v>
      </c>
      <c r="T2" s="4">
        <v>44835</v>
      </c>
      <c r="U2" s="4">
        <v>44866</v>
      </c>
      <c r="V2" s="4">
        <v>44896</v>
      </c>
      <c r="W2" s="4">
        <v>44927</v>
      </c>
      <c r="X2" s="4">
        <v>44958</v>
      </c>
      <c r="Y2" s="4">
        <v>44986</v>
      </c>
      <c r="Z2" s="4">
        <v>45017</v>
      </c>
      <c r="AA2" s="4">
        <v>45047</v>
      </c>
      <c r="AB2" s="4">
        <v>45078</v>
      </c>
      <c r="AC2" s="5" t="s">
        <v>3</v>
      </c>
      <c r="AD2" s="4">
        <v>45108</v>
      </c>
      <c r="AE2" s="4">
        <v>45139</v>
      </c>
      <c r="AF2" s="4">
        <v>45170</v>
      </c>
      <c r="AG2" s="4">
        <v>45200</v>
      </c>
      <c r="AH2" s="4">
        <v>45231</v>
      </c>
      <c r="AI2" s="4">
        <v>45261</v>
      </c>
      <c r="AJ2" s="4">
        <v>45292</v>
      </c>
      <c r="AK2" s="4">
        <v>45323</v>
      </c>
      <c r="AL2" s="4">
        <v>45352</v>
      </c>
      <c r="AM2" s="4">
        <v>45383</v>
      </c>
      <c r="AN2" s="4">
        <v>45413</v>
      </c>
      <c r="AO2" s="54">
        <v>45444</v>
      </c>
      <c r="AP2" s="5" t="s">
        <v>4</v>
      </c>
    </row>
    <row r="3" spans="1:42" x14ac:dyDescent="0.3">
      <c r="C3" s="6"/>
    </row>
    <row r="4" spans="1:42" ht="15.5" x14ac:dyDescent="0.35">
      <c r="B4" s="7" t="s">
        <v>5</v>
      </c>
      <c r="C4" s="8" t="s">
        <v>6</v>
      </c>
    </row>
    <row r="5" spans="1:42" x14ac:dyDescent="0.3">
      <c r="C5" s="6" t="s">
        <v>7</v>
      </c>
      <c r="D5" s="9">
        <v>299.12</v>
      </c>
      <c r="E5" s="9">
        <v>299.12</v>
      </c>
      <c r="F5" s="9">
        <v>299.12</v>
      </c>
      <c r="G5" s="9">
        <v>299.12</v>
      </c>
      <c r="H5" s="9">
        <v>299.12</v>
      </c>
      <c r="I5" s="9">
        <v>299.12</v>
      </c>
      <c r="J5" s="9">
        <v>284.56</v>
      </c>
      <c r="K5" s="9"/>
      <c r="L5" s="9"/>
      <c r="M5" s="9"/>
      <c r="N5" s="9"/>
      <c r="O5" s="9"/>
      <c r="P5" s="10">
        <f>SUM(D5:O5)</f>
        <v>2079.2799999999997</v>
      </c>
      <c r="Q5" s="9"/>
    </row>
    <row r="6" spans="1:42" x14ac:dyDescent="0.3">
      <c r="C6" s="6" t="s">
        <v>8</v>
      </c>
      <c r="D6" s="9">
        <v>250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>
        <f>SUM(D6:O6)</f>
        <v>250</v>
      </c>
      <c r="Q6" s="9"/>
    </row>
    <row r="7" spans="1:42" ht="13.5" thickBot="1" x14ac:dyDescent="0.35">
      <c r="C7" s="6" t="s">
        <v>9</v>
      </c>
      <c r="D7" s="9">
        <f>14583.33+12992.71</f>
        <v>27576.04</v>
      </c>
      <c r="E7" s="9">
        <f>14583.33+12992.71</f>
        <v>27576.04</v>
      </c>
      <c r="F7" s="9">
        <f>14583.33+12992.71</f>
        <v>27576.04</v>
      </c>
      <c r="G7" s="9">
        <f>14583.33+12992.71</f>
        <v>27576.04</v>
      </c>
      <c r="H7" s="9">
        <f>14583.33+12992.71</f>
        <v>27576.04</v>
      </c>
      <c r="I7" s="9">
        <f>15000+12365.63</f>
        <v>27365.629999999997</v>
      </c>
      <c r="J7" s="9">
        <f>15000+12365.63</f>
        <v>27365.629999999997</v>
      </c>
      <c r="K7" s="9"/>
      <c r="L7" s="9"/>
      <c r="M7" s="9"/>
      <c r="N7" s="9"/>
      <c r="O7" s="9"/>
      <c r="P7" s="10">
        <f>SUM(D7:O7)</f>
        <v>192611.46000000002</v>
      </c>
      <c r="Q7" s="9"/>
    </row>
    <row r="8" spans="1:42" ht="13.5" thickBot="1" x14ac:dyDescent="0.35">
      <c r="C8" s="11" t="s">
        <v>10</v>
      </c>
      <c r="D8" s="12">
        <f t="shared" ref="D8:O8" si="0">SUM(D5:D7)</f>
        <v>28125.16</v>
      </c>
      <c r="E8" s="12">
        <f t="shared" si="0"/>
        <v>27875.16</v>
      </c>
      <c r="F8" s="12">
        <f t="shared" si="0"/>
        <v>27875.16</v>
      </c>
      <c r="G8" s="12">
        <f t="shared" si="0"/>
        <v>27875.16</v>
      </c>
      <c r="H8" s="12">
        <f t="shared" si="0"/>
        <v>27875.16</v>
      </c>
      <c r="I8" s="12">
        <f t="shared" si="0"/>
        <v>27664.749999999996</v>
      </c>
      <c r="J8" s="12">
        <f t="shared" si="0"/>
        <v>27650.19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>SUM(P5:P7)</f>
        <v>194940.74000000002</v>
      </c>
    </row>
    <row r="9" spans="1:42" x14ac:dyDescent="0.3">
      <c r="C9" s="13"/>
    </row>
    <row r="10" spans="1:42" ht="15.5" x14ac:dyDescent="0.35">
      <c r="B10" s="7" t="s">
        <v>5</v>
      </c>
      <c r="C10" s="14" t="s">
        <v>11</v>
      </c>
    </row>
    <row r="11" spans="1:42" x14ac:dyDescent="0.3">
      <c r="C11" s="6" t="s">
        <v>7</v>
      </c>
      <c r="D11" s="9">
        <v>530.41999999999996</v>
      </c>
      <c r="E11" s="9">
        <v>530.41999999999996</v>
      </c>
      <c r="F11" s="9">
        <v>530.41999999999996</v>
      </c>
      <c r="G11" s="9">
        <v>530.41999999999996</v>
      </c>
      <c r="H11" s="9">
        <v>530.41999999999996</v>
      </c>
      <c r="I11" s="9">
        <v>530.41999999999996</v>
      </c>
      <c r="J11" s="9">
        <v>530.41999999999996</v>
      </c>
      <c r="K11" s="9">
        <v>530.41999999999996</v>
      </c>
      <c r="L11" s="9">
        <v>530.41999999999996</v>
      </c>
      <c r="M11" s="9">
        <v>530.41999999999996</v>
      </c>
      <c r="N11" s="15">
        <v>530.41999999999996</v>
      </c>
      <c r="O11" s="9"/>
      <c r="P11" s="10">
        <f>SUM(D11:O11)</f>
        <v>5834.62</v>
      </c>
      <c r="Q11" s="9"/>
      <c r="R11" s="9"/>
    </row>
    <row r="12" spans="1:42" x14ac:dyDescent="0.3">
      <c r="C12" s="6" t="s">
        <v>8</v>
      </c>
      <c r="D12" s="9">
        <v>250</v>
      </c>
      <c r="E12" s="9"/>
      <c r="F12" s="9"/>
      <c r="G12" s="9"/>
      <c r="H12" s="9"/>
      <c r="I12" s="9"/>
      <c r="J12" s="9"/>
      <c r="K12" s="9"/>
      <c r="L12" s="9"/>
      <c r="M12" s="9"/>
      <c r="N12" s="15"/>
      <c r="O12" s="9"/>
      <c r="P12" s="10">
        <f>SUM(D12:O12)</f>
        <v>250</v>
      </c>
      <c r="Q12" s="9"/>
      <c r="R12" s="9"/>
    </row>
    <row r="13" spans="1:42" ht="13.5" thickBot="1" x14ac:dyDescent="0.35">
      <c r="C13" s="6" t="s">
        <v>9</v>
      </c>
      <c r="D13" s="9">
        <f t="shared" ref="D13:K13" si="1">23333.33+24294.48</f>
        <v>47627.81</v>
      </c>
      <c r="E13" s="9">
        <f t="shared" si="1"/>
        <v>47627.81</v>
      </c>
      <c r="F13" s="9">
        <f t="shared" si="1"/>
        <v>47627.81</v>
      </c>
      <c r="G13" s="9">
        <f t="shared" si="1"/>
        <v>47627.81</v>
      </c>
      <c r="H13" s="9">
        <f t="shared" si="1"/>
        <v>47627.81</v>
      </c>
      <c r="I13" s="9">
        <f t="shared" si="1"/>
        <v>47627.81</v>
      </c>
      <c r="J13" s="9">
        <f t="shared" si="1"/>
        <v>47627.81</v>
      </c>
      <c r="K13" s="9">
        <f t="shared" si="1"/>
        <v>47627.81</v>
      </c>
      <c r="L13" s="9">
        <f>24166.67+23244.48</f>
        <v>47411.149999999994</v>
      </c>
      <c r="M13" s="9">
        <f>24166.67+23244.48</f>
        <v>47411.149999999994</v>
      </c>
      <c r="N13" s="15">
        <f>24166.67+23244.48</f>
        <v>47411.149999999994</v>
      </c>
      <c r="O13" s="9"/>
      <c r="P13" s="10">
        <f>SUM(D13:O13)</f>
        <v>523255.93000000005</v>
      </c>
      <c r="Q13" s="9"/>
      <c r="R13" s="9"/>
    </row>
    <row r="14" spans="1:42" ht="13.5" thickBot="1" x14ac:dyDescent="0.35">
      <c r="C14" s="16" t="s">
        <v>12</v>
      </c>
      <c r="D14" s="12">
        <f t="shared" ref="D14:O14" si="2">SUM(D11:D13)</f>
        <v>48408.229999999996</v>
      </c>
      <c r="E14" s="12">
        <f t="shared" si="2"/>
        <v>48158.229999999996</v>
      </c>
      <c r="F14" s="12">
        <f t="shared" si="2"/>
        <v>48158.229999999996</v>
      </c>
      <c r="G14" s="12">
        <f t="shared" si="2"/>
        <v>48158.229999999996</v>
      </c>
      <c r="H14" s="12">
        <f t="shared" si="2"/>
        <v>48158.229999999996</v>
      </c>
      <c r="I14" s="12">
        <f t="shared" si="2"/>
        <v>48158.229999999996</v>
      </c>
      <c r="J14" s="12">
        <f t="shared" si="2"/>
        <v>48158.229999999996</v>
      </c>
      <c r="K14" s="12">
        <f t="shared" si="2"/>
        <v>48158.229999999996</v>
      </c>
      <c r="L14" s="12">
        <f t="shared" si="2"/>
        <v>47941.569999999992</v>
      </c>
      <c r="M14" s="12">
        <f t="shared" si="2"/>
        <v>47941.569999999992</v>
      </c>
      <c r="N14" s="17">
        <f t="shared" si="2"/>
        <v>47941.569999999992</v>
      </c>
      <c r="O14" s="12">
        <f t="shared" si="2"/>
        <v>0</v>
      </c>
      <c r="P14" s="12">
        <f>SUM(P11:P13)</f>
        <v>529340.55000000005</v>
      </c>
    </row>
    <row r="15" spans="1:42" x14ac:dyDescent="0.3">
      <c r="C15" s="13"/>
    </row>
    <row r="16" spans="1:42" ht="15.5" x14ac:dyDescent="0.35">
      <c r="A16" s="18">
        <v>1</v>
      </c>
      <c r="C16" s="19" t="s">
        <v>13</v>
      </c>
    </row>
    <row r="17" spans="1:44" x14ac:dyDescent="0.3">
      <c r="C17" s="6" t="s">
        <v>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>SUM(D17:O17)</f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f>SUM(Q17:AB17)</f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55">
        <v>0</v>
      </c>
      <c r="AP17" s="10">
        <f>SUM(AD17:AO17)</f>
        <v>0</v>
      </c>
    </row>
    <row r="18" spans="1:44" x14ac:dyDescent="0.3">
      <c r="C18" s="6" t="s">
        <v>8</v>
      </c>
      <c r="D18" s="9">
        <v>250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>SUM(D18:O18)</f>
        <v>250</v>
      </c>
      <c r="Q18" s="9">
        <v>250</v>
      </c>
      <c r="AC18" s="10">
        <f>SUM(Q18:AB18)</f>
        <v>250</v>
      </c>
      <c r="AD18" s="9">
        <v>250</v>
      </c>
      <c r="AE18" s="9"/>
      <c r="AF18" s="9"/>
      <c r="AG18" s="9"/>
      <c r="AH18" s="9"/>
      <c r="AI18" s="9"/>
      <c r="AJ18" s="9"/>
      <c r="AK18" s="9"/>
      <c r="AL18" s="9"/>
      <c r="AM18" s="9"/>
      <c r="AN18" s="23"/>
      <c r="AO18" s="56"/>
      <c r="AP18" s="10">
        <f>SUM(AD18:AO18)</f>
        <v>250</v>
      </c>
    </row>
    <row r="19" spans="1:44" ht="13.5" thickBot="1" x14ac:dyDescent="0.35">
      <c r="C19" s="6" t="s">
        <v>9</v>
      </c>
      <c r="D19" s="9">
        <f t="shared" ref="D19:M19" si="3">4166.67+9937.5</f>
        <v>14104.17</v>
      </c>
      <c r="E19" s="9">
        <f t="shared" si="3"/>
        <v>14104.17</v>
      </c>
      <c r="F19" s="9">
        <f t="shared" si="3"/>
        <v>14104.17</v>
      </c>
      <c r="G19" s="9">
        <f t="shared" si="3"/>
        <v>14104.17</v>
      </c>
      <c r="H19" s="9">
        <f t="shared" si="3"/>
        <v>14104.17</v>
      </c>
      <c r="I19" s="9">
        <f t="shared" si="3"/>
        <v>14104.17</v>
      </c>
      <c r="J19" s="9">
        <f t="shared" si="3"/>
        <v>14104.17</v>
      </c>
      <c r="K19" s="9">
        <f t="shared" si="3"/>
        <v>14104.17</v>
      </c>
      <c r="L19" s="9">
        <f t="shared" si="3"/>
        <v>14104.17</v>
      </c>
      <c r="M19" s="9">
        <f t="shared" si="3"/>
        <v>14104.17</v>
      </c>
      <c r="N19" s="9">
        <f>4583.33+9625</f>
        <v>14208.33</v>
      </c>
      <c r="O19" s="9">
        <f>4583.33+9625</f>
        <v>14208.33</v>
      </c>
      <c r="P19" s="10">
        <f>SUM(D19:O19)</f>
        <v>169458.36</v>
      </c>
      <c r="Q19" s="9">
        <f t="shared" ref="Q19:Z19" si="4">4583.33+9625</f>
        <v>14208.33</v>
      </c>
      <c r="R19" s="9">
        <f t="shared" si="4"/>
        <v>14208.33</v>
      </c>
      <c r="S19" s="9">
        <f t="shared" si="4"/>
        <v>14208.33</v>
      </c>
      <c r="T19" s="9">
        <f t="shared" si="4"/>
        <v>14208.33</v>
      </c>
      <c r="U19" s="9">
        <f t="shared" si="4"/>
        <v>14208.33</v>
      </c>
      <c r="V19" s="9">
        <f t="shared" si="4"/>
        <v>14208.33</v>
      </c>
      <c r="W19" s="9">
        <f t="shared" si="4"/>
        <v>14208.33</v>
      </c>
      <c r="X19" s="9">
        <f t="shared" si="4"/>
        <v>14208.33</v>
      </c>
      <c r="Y19" s="9">
        <f t="shared" si="4"/>
        <v>14208.33</v>
      </c>
      <c r="Z19" s="9">
        <f t="shared" si="4"/>
        <v>14208.33</v>
      </c>
      <c r="AA19" s="9">
        <f>4583.33+9281.25</f>
        <v>13864.58</v>
      </c>
      <c r="AB19" s="9">
        <f>4583.33+9281.25</f>
        <v>13864.58</v>
      </c>
      <c r="AC19" s="10">
        <f>SUM(Q19:AB19)</f>
        <v>169812.45999999996</v>
      </c>
      <c r="AD19" s="9">
        <f t="shared" ref="AD19:AM19" si="5">4583.33+9281.25</f>
        <v>13864.58</v>
      </c>
      <c r="AE19" s="9">
        <f t="shared" si="5"/>
        <v>13864.58</v>
      </c>
      <c r="AF19" s="9">
        <f t="shared" si="5"/>
        <v>13864.58</v>
      </c>
      <c r="AG19" s="9">
        <f t="shared" si="5"/>
        <v>13864.58</v>
      </c>
      <c r="AH19" s="9">
        <f t="shared" si="5"/>
        <v>13864.58</v>
      </c>
      <c r="AI19" s="9">
        <f t="shared" si="5"/>
        <v>13864.58</v>
      </c>
      <c r="AJ19" s="9">
        <f t="shared" si="5"/>
        <v>13864.58</v>
      </c>
      <c r="AK19" s="9">
        <f t="shared" si="5"/>
        <v>13864.58</v>
      </c>
      <c r="AL19" s="9">
        <f t="shared" si="5"/>
        <v>13864.58</v>
      </c>
      <c r="AM19" s="9">
        <f t="shared" si="5"/>
        <v>13864.58</v>
      </c>
      <c r="AN19" s="10">
        <f>5000+8937.5</f>
        <v>13937.5</v>
      </c>
      <c r="AO19" s="55">
        <f>5000+8937.5</f>
        <v>13937.5</v>
      </c>
      <c r="AP19" s="10">
        <f>SUM(AD19:AO19)</f>
        <v>166520.79999999999</v>
      </c>
      <c r="AR19" s="33"/>
    </row>
    <row r="20" spans="1:44" ht="13.5" thickBot="1" x14ac:dyDescent="0.35">
      <c r="C20" s="16" t="s">
        <v>14</v>
      </c>
      <c r="D20" s="12">
        <f t="shared" ref="D20:AB20" si="6">SUM(D17:D19)</f>
        <v>14354.17</v>
      </c>
      <c r="E20" s="12">
        <f t="shared" si="6"/>
        <v>14104.17</v>
      </c>
      <c r="F20" s="12">
        <f t="shared" si="6"/>
        <v>14104.17</v>
      </c>
      <c r="G20" s="12">
        <f t="shared" si="6"/>
        <v>14104.17</v>
      </c>
      <c r="H20" s="12">
        <f t="shared" si="6"/>
        <v>14104.17</v>
      </c>
      <c r="I20" s="12">
        <f t="shared" si="6"/>
        <v>14104.17</v>
      </c>
      <c r="J20" s="12">
        <f t="shared" si="6"/>
        <v>14104.17</v>
      </c>
      <c r="K20" s="12">
        <f t="shared" si="6"/>
        <v>14104.17</v>
      </c>
      <c r="L20" s="12">
        <f t="shared" si="6"/>
        <v>14104.17</v>
      </c>
      <c r="M20" s="12">
        <f t="shared" si="6"/>
        <v>14104.17</v>
      </c>
      <c r="N20" s="12">
        <f t="shared" si="6"/>
        <v>14208.33</v>
      </c>
      <c r="O20" s="12">
        <f t="shared" si="6"/>
        <v>14208.33</v>
      </c>
      <c r="P20" s="12">
        <f>SUM(P17:P19)</f>
        <v>169708.36</v>
      </c>
      <c r="Q20" s="12">
        <f t="shared" si="6"/>
        <v>14458.33</v>
      </c>
      <c r="R20" s="12">
        <f t="shared" si="6"/>
        <v>14208.33</v>
      </c>
      <c r="S20" s="12">
        <f t="shared" si="6"/>
        <v>14208.33</v>
      </c>
      <c r="T20" s="12">
        <f t="shared" si="6"/>
        <v>14208.33</v>
      </c>
      <c r="U20" s="12">
        <f t="shared" si="6"/>
        <v>14208.33</v>
      </c>
      <c r="V20" s="12">
        <f t="shared" si="6"/>
        <v>14208.33</v>
      </c>
      <c r="W20" s="12">
        <f t="shared" si="6"/>
        <v>14208.33</v>
      </c>
      <c r="X20" s="12">
        <f t="shared" si="6"/>
        <v>14208.33</v>
      </c>
      <c r="Y20" s="12">
        <f t="shared" si="6"/>
        <v>14208.33</v>
      </c>
      <c r="Z20" s="12">
        <f t="shared" si="6"/>
        <v>14208.33</v>
      </c>
      <c r="AA20" s="12">
        <f t="shared" si="6"/>
        <v>13864.58</v>
      </c>
      <c r="AB20" s="12">
        <f t="shared" si="6"/>
        <v>13864.58</v>
      </c>
      <c r="AC20" s="12">
        <f>SUM(AC17:AC19)</f>
        <v>170062.45999999996</v>
      </c>
      <c r="AD20" s="12">
        <f>SUM(AD17:AD19)</f>
        <v>14114.58</v>
      </c>
      <c r="AE20" s="12">
        <f>SUM(AE17:AE19)</f>
        <v>13864.58</v>
      </c>
      <c r="AF20" s="12">
        <f t="shared" ref="AF20:AO20" si="7">SUM(AF17:AF19)</f>
        <v>13864.58</v>
      </c>
      <c r="AG20" s="12">
        <f t="shared" si="7"/>
        <v>13864.58</v>
      </c>
      <c r="AH20" s="12">
        <f t="shared" si="7"/>
        <v>13864.58</v>
      </c>
      <c r="AI20" s="12">
        <f t="shared" si="7"/>
        <v>13864.58</v>
      </c>
      <c r="AJ20" s="12">
        <f t="shared" si="7"/>
        <v>13864.58</v>
      </c>
      <c r="AK20" s="12">
        <f t="shared" si="7"/>
        <v>13864.58</v>
      </c>
      <c r="AL20" s="12">
        <f t="shared" si="7"/>
        <v>13864.58</v>
      </c>
      <c r="AM20" s="12">
        <f t="shared" si="7"/>
        <v>13864.58</v>
      </c>
      <c r="AN20" s="12">
        <f t="shared" si="7"/>
        <v>13937.5</v>
      </c>
      <c r="AO20" s="57">
        <f t="shared" si="7"/>
        <v>13937.5</v>
      </c>
      <c r="AP20" s="12">
        <f>SUM(AP17:AP19)</f>
        <v>166770.79999999999</v>
      </c>
    </row>
    <row r="21" spans="1:44" x14ac:dyDescent="0.3">
      <c r="C21" s="20"/>
    </row>
    <row r="22" spans="1:44" ht="15.75" customHeight="1" x14ac:dyDescent="0.35">
      <c r="A22" s="18">
        <f>+A16+1</f>
        <v>2</v>
      </c>
      <c r="B22" s="21"/>
      <c r="C22" s="22" t="s">
        <v>15</v>
      </c>
    </row>
    <row r="23" spans="1:44" x14ac:dyDescent="0.3">
      <c r="C23" s="6" t="s">
        <v>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>SUM(D23:O23)</f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f>SUM(Q23:AB23)</f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55">
        <v>0</v>
      </c>
      <c r="AP23" s="10">
        <f>SUM(AD23:AO23)</f>
        <v>0</v>
      </c>
    </row>
    <row r="24" spans="1:44" x14ac:dyDescent="0.3">
      <c r="C24" s="6" t="s">
        <v>8</v>
      </c>
      <c r="D24" s="9">
        <v>250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>SUM(D24:O24)</f>
        <v>250</v>
      </c>
      <c r="Q24" s="9">
        <v>250</v>
      </c>
      <c r="AC24" s="10">
        <f>SUM(Q24:AB24)</f>
        <v>250</v>
      </c>
      <c r="AD24" s="9">
        <v>250</v>
      </c>
      <c r="AE24" s="9"/>
      <c r="AF24" s="9"/>
      <c r="AG24" s="9"/>
      <c r="AH24" s="9"/>
      <c r="AI24" s="9"/>
      <c r="AJ24" s="9"/>
      <c r="AK24" s="9"/>
      <c r="AL24" s="9"/>
      <c r="AM24" s="9"/>
      <c r="AN24" s="23"/>
      <c r="AO24" s="56"/>
      <c r="AP24" s="10">
        <f>SUM(AD24:AO24)</f>
        <v>250</v>
      </c>
    </row>
    <row r="25" spans="1:44" ht="13.5" thickBot="1" x14ac:dyDescent="0.35">
      <c r="C25" s="6" t="s">
        <v>9</v>
      </c>
      <c r="D25" s="9">
        <v>55951.040000000001</v>
      </c>
      <c r="E25" s="9">
        <v>55951.040000000001</v>
      </c>
      <c r="F25" s="9">
        <v>55951.040000000001</v>
      </c>
      <c r="G25" s="9">
        <v>55951.040000000001</v>
      </c>
      <c r="H25" s="9">
        <v>55951.040000000001</v>
      </c>
      <c r="I25" s="9">
        <v>55951.040000000001</v>
      </c>
      <c r="J25" s="9">
        <v>55951.040000000001</v>
      </c>
      <c r="K25" s="9">
        <v>55951.040000000001</v>
      </c>
      <c r="L25" s="9">
        <v>55951.040000000001</v>
      </c>
      <c r="M25" s="9">
        <v>55951.040000000001</v>
      </c>
      <c r="N25" s="9">
        <v>55951.040000000001</v>
      </c>
      <c r="O25" s="9">
        <v>55951.040000000001</v>
      </c>
      <c r="P25" s="10">
        <f>SUM(D25:O25)</f>
        <v>671412.48</v>
      </c>
      <c r="Q25" s="9">
        <f>20833.33+35143.75</f>
        <v>55977.08</v>
      </c>
      <c r="R25" s="9">
        <f t="shared" ref="R25:AB25" si="8">20833.33+35143.75</f>
        <v>55977.08</v>
      </c>
      <c r="S25" s="9">
        <f t="shared" si="8"/>
        <v>55977.08</v>
      </c>
      <c r="T25" s="9">
        <f t="shared" si="8"/>
        <v>55977.08</v>
      </c>
      <c r="U25" s="9">
        <f t="shared" si="8"/>
        <v>55977.08</v>
      </c>
      <c r="V25" s="9">
        <f t="shared" si="8"/>
        <v>55977.08</v>
      </c>
      <c r="W25" s="9">
        <f t="shared" si="8"/>
        <v>55977.08</v>
      </c>
      <c r="X25" s="9">
        <f t="shared" si="8"/>
        <v>55977.08</v>
      </c>
      <c r="Y25" s="9">
        <f t="shared" si="8"/>
        <v>55977.08</v>
      </c>
      <c r="Z25" s="9">
        <f t="shared" si="8"/>
        <v>55977.08</v>
      </c>
      <c r="AA25" s="9">
        <f t="shared" si="8"/>
        <v>55977.08</v>
      </c>
      <c r="AB25" s="9">
        <f t="shared" si="8"/>
        <v>55977.08</v>
      </c>
      <c r="AC25" s="10">
        <f>SUM(Q25:AB25)</f>
        <v>671724.96</v>
      </c>
      <c r="AD25" s="10">
        <f>22083.33+33841.67</f>
        <v>55925</v>
      </c>
      <c r="AE25" s="10">
        <f t="shared" ref="AE25:AO25" si="9">22083.33+33841.67</f>
        <v>55925</v>
      </c>
      <c r="AF25" s="10">
        <f t="shared" si="9"/>
        <v>55925</v>
      </c>
      <c r="AG25" s="10">
        <f t="shared" si="9"/>
        <v>55925</v>
      </c>
      <c r="AH25" s="10">
        <f t="shared" si="9"/>
        <v>55925</v>
      </c>
      <c r="AI25" s="10">
        <f t="shared" si="9"/>
        <v>55925</v>
      </c>
      <c r="AJ25" s="10">
        <f t="shared" si="9"/>
        <v>55925</v>
      </c>
      <c r="AK25" s="10">
        <f t="shared" si="9"/>
        <v>55925</v>
      </c>
      <c r="AL25" s="10">
        <f t="shared" si="9"/>
        <v>55925</v>
      </c>
      <c r="AM25" s="10">
        <f t="shared" si="9"/>
        <v>55925</v>
      </c>
      <c r="AN25" s="10">
        <f t="shared" si="9"/>
        <v>55925</v>
      </c>
      <c r="AO25" s="55">
        <f t="shared" si="9"/>
        <v>55925</v>
      </c>
      <c r="AP25" s="10">
        <f>SUM(AD25:AO25)</f>
        <v>671100</v>
      </c>
      <c r="AR25" s="33"/>
    </row>
    <row r="26" spans="1:44" ht="13.5" thickBot="1" x14ac:dyDescent="0.35">
      <c r="C26" s="11" t="s">
        <v>16</v>
      </c>
      <c r="D26" s="12">
        <f t="shared" ref="D26:AB26" si="10">SUM(D23:D25)</f>
        <v>56201.04</v>
      </c>
      <c r="E26" s="12">
        <f t="shared" si="10"/>
        <v>55951.040000000001</v>
      </c>
      <c r="F26" s="12">
        <f t="shared" si="10"/>
        <v>55951.040000000001</v>
      </c>
      <c r="G26" s="12">
        <f t="shared" si="10"/>
        <v>55951.040000000001</v>
      </c>
      <c r="H26" s="12">
        <f t="shared" si="10"/>
        <v>55951.040000000001</v>
      </c>
      <c r="I26" s="12">
        <f t="shared" si="10"/>
        <v>55951.040000000001</v>
      </c>
      <c r="J26" s="12">
        <f t="shared" si="10"/>
        <v>55951.040000000001</v>
      </c>
      <c r="K26" s="12">
        <f t="shared" si="10"/>
        <v>55951.040000000001</v>
      </c>
      <c r="L26" s="12">
        <f t="shared" si="10"/>
        <v>55951.040000000001</v>
      </c>
      <c r="M26" s="12">
        <f t="shared" si="10"/>
        <v>55951.040000000001</v>
      </c>
      <c r="N26" s="12">
        <f t="shared" si="10"/>
        <v>55951.040000000001</v>
      </c>
      <c r="O26" s="12">
        <f t="shared" si="10"/>
        <v>55951.040000000001</v>
      </c>
      <c r="P26" s="12">
        <f>SUM(P23:P25)</f>
        <v>671662.48</v>
      </c>
      <c r="Q26" s="12">
        <f t="shared" si="10"/>
        <v>56227.08</v>
      </c>
      <c r="R26" s="12">
        <f t="shared" si="10"/>
        <v>55977.08</v>
      </c>
      <c r="S26" s="12">
        <f t="shared" si="10"/>
        <v>55977.08</v>
      </c>
      <c r="T26" s="12">
        <f t="shared" si="10"/>
        <v>55977.08</v>
      </c>
      <c r="U26" s="12">
        <f t="shared" si="10"/>
        <v>55977.08</v>
      </c>
      <c r="V26" s="12">
        <f t="shared" si="10"/>
        <v>55977.08</v>
      </c>
      <c r="W26" s="12">
        <f t="shared" si="10"/>
        <v>55977.08</v>
      </c>
      <c r="X26" s="12">
        <f t="shared" si="10"/>
        <v>55977.08</v>
      </c>
      <c r="Y26" s="12">
        <f t="shared" si="10"/>
        <v>55977.08</v>
      </c>
      <c r="Z26" s="12">
        <f t="shared" si="10"/>
        <v>55977.08</v>
      </c>
      <c r="AA26" s="12">
        <f t="shared" si="10"/>
        <v>55977.08</v>
      </c>
      <c r="AB26" s="12">
        <f t="shared" si="10"/>
        <v>55977.08</v>
      </c>
      <c r="AC26" s="12">
        <f>SUM(AC23:AC25)</f>
        <v>671974.96</v>
      </c>
      <c r="AD26" s="12">
        <f>SUM(AD23:AD25)</f>
        <v>56175</v>
      </c>
      <c r="AE26" s="12">
        <f>SUM(AE23:AE25)</f>
        <v>55925</v>
      </c>
      <c r="AF26" s="12">
        <f t="shared" ref="AF26:AO26" si="11">SUM(AF23:AF25)</f>
        <v>55925</v>
      </c>
      <c r="AG26" s="12">
        <f t="shared" si="11"/>
        <v>55925</v>
      </c>
      <c r="AH26" s="12">
        <f t="shared" si="11"/>
        <v>55925</v>
      </c>
      <c r="AI26" s="12">
        <f t="shared" si="11"/>
        <v>55925</v>
      </c>
      <c r="AJ26" s="12">
        <f t="shared" si="11"/>
        <v>55925</v>
      </c>
      <c r="AK26" s="12">
        <f t="shared" si="11"/>
        <v>55925</v>
      </c>
      <c r="AL26" s="12">
        <f t="shared" si="11"/>
        <v>55925</v>
      </c>
      <c r="AM26" s="12">
        <f t="shared" si="11"/>
        <v>55925</v>
      </c>
      <c r="AN26" s="12">
        <f t="shared" si="11"/>
        <v>55925</v>
      </c>
      <c r="AO26" s="57">
        <f t="shared" si="11"/>
        <v>55925</v>
      </c>
      <c r="AP26" s="12">
        <f>SUM(AP23:AP25)</f>
        <v>671350</v>
      </c>
    </row>
    <row r="27" spans="1:44" x14ac:dyDescent="0.3">
      <c r="C27" s="20"/>
    </row>
    <row r="28" spans="1:44" ht="15.75" customHeight="1" x14ac:dyDescent="0.35">
      <c r="A28" s="18">
        <f>+A22+1</f>
        <v>3</v>
      </c>
      <c r="B28" s="21"/>
      <c r="C28" s="22" t="s">
        <v>17</v>
      </c>
    </row>
    <row r="29" spans="1:44" x14ac:dyDescent="0.3">
      <c r="C29" s="6" t="s">
        <v>7</v>
      </c>
      <c r="D29" s="23">
        <v>487.5</v>
      </c>
      <c r="E29" s="23">
        <v>487.5</v>
      </c>
      <c r="F29" s="23">
        <v>487.5</v>
      </c>
      <c r="G29" s="23">
        <v>487.5</v>
      </c>
      <c r="H29" s="23">
        <v>487.5</v>
      </c>
      <c r="I29" s="23">
        <v>487.5</v>
      </c>
      <c r="J29" s="23">
        <v>487.5</v>
      </c>
      <c r="K29" s="23">
        <v>487.5</v>
      </c>
      <c r="L29" s="23">
        <v>487.5</v>
      </c>
      <c r="M29" s="23">
        <v>487.5</v>
      </c>
      <c r="N29" s="23">
        <v>487.5</v>
      </c>
      <c r="O29" s="23">
        <v>472.08</v>
      </c>
      <c r="P29" s="10">
        <f>SUM(D29:O29)</f>
        <v>5834.58</v>
      </c>
      <c r="Q29" s="23">
        <v>472.08</v>
      </c>
      <c r="R29" s="23">
        <v>472.08</v>
      </c>
      <c r="S29" s="23">
        <v>472.08</v>
      </c>
      <c r="T29" s="23">
        <v>472.08</v>
      </c>
      <c r="U29" s="23">
        <v>472.08</v>
      </c>
      <c r="V29" s="23">
        <v>472.08</v>
      </c>
      <c r="W29" s="23">
        <v>472.08</v>
      </c>
      <c r="X29" s="23">
        <v>472.08</v>
      </c>
      <c r="Y29" s="23">
        <v>472.08</v>
      </c>
      <c r="Z29" s="23">
        <v>472.08</v>
      </c>
      <c r="AA29" s="23">
        <v>472.08</v>
      </c>
      <c r="AB29" s="23">
        <v>455.83</v>
      </c>
      <c r="AC29" s="10">
        <f>SUM(Q29:AB29)</f>
        <v>5648.71</v>
      </c>
      <c r="AD29" s="23">
        <v>455.83</v>
      </c>
      <c r="AE29" s="23">
        <v>455.83</v>
      </c>
      <c r="AF29" s="23">
        <v>455.83</v>
      </c>
      <c r="AG29" s="23">
        <v>455.83</v>
      </c>
      <c r="AH29" s="23">
        <v>455.83</v>
      </c>
      <c r="AI29" s="23">
        <v>455.83</v>
      </c>
      <c r="AJ29" s="23">
        <v>455.83</v>
      </c>
      <c r="AK29" s="23">
        <v>455.83</v>
      </c>
      <c r="AL29" s="23">
        <v>455.83</v>
      </c>
      <c r="AM29" s="23">
        <v>455.83</v>
      </c>
      <c r="AN29" s="23">
        <v>455.83</v>
      </c>
      <c r="AO29" s="55">
        <v>438.75</v>
      </c>
      <c r="AP29" s="10">
        <f>SUM(AD29:AO29)</f>
        <v>5452.88</v>
      </c>
    </row>
    <row r="30" spans="1:44" x14ac:dyDescent="0.3">
      <c r="C30" s="6" t="s">
        <v>8</v>
      </c>
      <c r="D30" s="9">
        <v>250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>
        <f>SUM(D30:O30)</f>
        <v>250</v>
      </c>
      <c r="Q30" s="9">
        <v>250</v>
      </c>
      <c r="AC30" s="10">
        <f>SUM(Q30:AB30)</f>
        <v>250</v>
      </c>
      <c r="AD30" s="9">
        <v>250</v>
      </c>
      <c r="AE30" s="9"/>
      <c r="AF30" s="9"/>
      <c r="AG30" s="9"/>
      <c r="AH30" s="9"/>
      <c r="AI30" s="9"/>
      <c r="AJ30" s="9"/>
      <c r="AK30" s="9"/>
      <c r="AL30" s="9"/>
      <c r="AM30" s="9"/>
      <c r="AN30" s="23"/>
      <c r="AO30" s="56"/>
      <c r="AP30" s="10">
        <f>SUM(AD30:AO30)</f>
        <v>250</v>
      </c>
    </row>
    <row r="31" spans="1:44" ht="13.5" thickBot="1" x14ac:dyDescent="0.35">
      <c r="C31" s="6" t="s">
        <v>9</v>
      </c>
      <c r="D31" s="9">
        <v>42065.63</v>
      </c>
      <c r="E31" s="9">
        <v>42065.63</v>
      </c>
      <c r="F31" s="9">
        <v>42065.63</v>
      </c>
      <c r="G31" s="9">
        <v>42065.63</v>
      </c>
      <c r="H31" s="9">
        <v>42065.63</v>
      </c>
      <c r="I31" s="9">
        <v>42065.63</v>
      </c>
      <c r="J31" s="9">
        <v>42065.63</v>
      </c>
      <c r="K31" s="9">
        <v>42065.63</v>
      </c>
      <c r="L31" s="9">
        <v>42065.63</v>
      </c>
      <c r="M31" s="9">
        <v>42065.63</v>
      </c>
      <c r="N31" s="9">
        <v>42065.63</v>
      </c>
      <c r="O31" s="9">
        <v>42065.63</v>
      </c>
      <c r="P31" s="10">
        <f>SUM(D31:O31)</f>
        <v>504787.56</v>
      </c>
      <c r="Q31" s="9">
        <v>42089.58</v>
      </c>
      <c r="R31" s="9">
        <v>42089.58</v>
      </c>
      <c r="S31" s="9">
        <v>42089.58</v>
      </c>
      <c r="T31" s="9">
        <v>42089.58</v>
      </c>
      <c r="U31" s="9">
        <v>42089.58</v>
      </c>
      <c r="V31" s="9">
        <v>42089.58</v>
      </c>
      <c r="W31" s="9">
        <v>42089.58</v>
      </c>
      <c r="X31" s="9">
        <v>42089.58</v>
      </c>
      <c r="Y31" s="9">
        <v>42089.58</v>
      </c>
      <c r="Z31" s="9">
        <v>42089.58</v>
      </c>
      <c r="AA31" s="9">
        <v>42089.58</v>
      </c>
      <c r="AB31" s="9">
        <v>42089.58</v>
      </c>
      <c r="AC31" s="10">
        <f>SUM(Q31:AB31)</f>
        <v>505074.96000000014</v>
      </c>
      <c r="AD31" s="10">
        <v>42069.79</v>
      </c>
      <c r="AE31" s="10">
        <v>42069.79</v>
      </c>
      <c r="AF31" s="10">
        <v>42069.79</v>
      </c>
      <c r="AG31" s="10">
        <v>42069.79</v>
      </c>
      <c r="AH31" s="10">
        <v>42069.79</v>
      </c>
      <c r="AI31" s="10">
        <v>42069.79</v>
      </c>
      <c r="AJ31" s="10">
        <v>42069.79</v>
      </c>
      <c r="AK31" s="10">
        <v>42069.79</v>
      </c>
      <c r="AL31" s="10">
        <v>42069.79</v>
      </c>
      <c r="AM31" s="10">
        <v>42069.79</v>
      </c>
      <c r="AN31" s="10">
        <v>42069.79</v>
      </c>
      <c r="AO31" s="55">
        <v>42069.79</v>
      </c>
      <c r="AP31" s="10">
        <f>SUM(AD31:AO31)</f>
        <v>504837.47999999992</v>
      </c>
      <c r="AR31" s="33"/>
    </row>
    <row r="32" spans="1:44" ht="13.5" thickBot="1" x14ac:dyDescent="0.35">
      <c r="C32" s="11" t="s">
        <v>18</v>
      </c>
      <c r="D32" s="12">
        <f t="shared" ref="D32:O32" si="12">SUM(D29:D31)</f>
        <v>42803.13</v>
      </c>
      <c r="E32" s="12">
        <f t="shared" si="12"/>
        <v>42553.13</v>
      </c>
      <c r="F32" s="12">
        <f t="shared" si="12"/>
        <v>42553.13</v>
      </c>
      <c r="G32" s="12">
        <f t="shared" si="12"/>
        <v>42553.13</v>
      </c>
      <c r="H32" s="12">
        <f t="shared" si="12"/>
        <v>42553.13</v>
      </c>
      <c r="I32" s="12">
        <f t="shared" si="12"/>
        <v>42553.13</v>
      </c>
      <c r="J32" s="12">
        <f t="shared" si="12"/>
        <v>42553.13</v>
      </c>
      <c r="K32" s="12">
        <f t="shared" si="12"/>
        <v>42553.13</v>
      </c>
      <c r="L32" s="12">
        <f t="shared" si="12"/>
        <v>42553.13</v>
      </c>
      <c r="M32" s="12">
        <f t="shared" si="12"/>
        <v>42553.13</v>
      </c>
      <c r="N32" s="12">
        <f t="shared" si="12"/>
        <v>42553.13</v>
      </c>
      <c r="O32" s="12">
        <f t="shared" si="12"/>
        <v>42537.71</v>
      </c>
      <c r="P32" s="12">
        <f>SUM(P29:P31)</f>
        <v>510872.14</v>
      </c>
      <c r="Q32" s="12">
        <f t="shared" ref="Q32:AB32" si="13">SUM(Q29:Q31)</f>
        <v>42811.66</v>
      </c>
      <c r="R32" s="12">
        <f t="shared" si="13"/>
        <v>42561.66</v>
      </c>
      <c r="S32" s="12">
        <f t="shared" si="13"/>
        <v>42561.66</v>
      </c>
      <c r="T32" s="12">
        <f t="shared" si="13"/>
        <v>42561.66</v>
      </c>
      <c r="U32" s="12">
        <f t="shared" si="13"/>
        <v>42561.66</v>
      </c>
      <c r="V32" s="12">
        <f t="shared" si="13"/>
        <v>42561.66</v>
      </c>
      <c r="W32" s="12">
        <f t="shared" si="13"/>
        <v>42561.66</v>
      </c>
      <c r="X32" s="12">
        <f t="shared" si="13"/>
        <v>42561.66</v>
      </c>
      <c r="Y32" s="12">
        <f t="shared" si="13"/>
        <v>42561.66</v>
      </c>
      <c r="Z32" s="12">
        <f t="shared" si="13"/>
        <v>42561.66</v>
      </c>
      <c r="AA32" s="12">
        <f t="shared" si="13"/>
        <v>42561.66</v>
      </c>
      <c r="AB32" s="12">
        <f t="shared" si="13"/>
        <v>42545.41</v>
      </c>
      <c r="AC32" s="12">
        <f>SUM(AC29:AC31)</f>
        <v>510973.67000000016</v>
      </c>
      <c r="AD32" s="12">
        <f>SUM(AD29:AD31)</f>
        <v>42775.62</v>
      </c>
      <c r="AE32" s="12">
        <f>SUM(AE29:AE31)</f>
        <v>42525.62</v>
      </c>
      <c r="AF32" s="12">
        <f t="shared" ref="AF32:AO32" si="14">SUM(AF29:AF31)</f>
        <v>42525.62</v>
      </c>
      <c r="AG32" s="12">
        <f t="shared" si="14"/>
        <v>42525.62</v>
      </c>
      <c r="AH32" s="12">
        <f t="shared" si="14"/>
        <v>42525.62</v>
      </c>
      <c r="AI32" s="12">
        <f t="shared" si="14"/>
        <v>42525.62</v>
      </c>
      <c r="AJ32" s="12">
        <f t="shared" si="14"/>
        <v>42525.62</v>
      </c>
      <c r="AK32" s="12">
        <f t="shared" si="14"/>
        <v>42525.62</v>
      </c>
      <c r="AL32" s="12">
        <f t="shared" si="14"/>
        <v>42525.62</v>
      </c>
      <c r="AM32" s="12">
        <f t="shared" si="14"/>
        <v>42525.62</v>
      </c>
      <c r="AN32" s="12">
        <f t="shared" si="14"/>
        <v>42525.62</v>
      </c>
      <c r="AO32" s="57">
        <f t="shared" si="14"/>
        <v>42508.54</v>
      </c>
      <c r="AP32" s="12">
        <f>SUM(AP29:AP31)</f>
        <v>510540.35999999993</v>
      </c>
    </row>
    <row r="33" spans="1:44" x14ac:dyDescent="0.3">
      <c r="C33" s="13"/>
    </row>
    <row r="34" spans="1:44" ht="15.75" customHeight="1" x14ac:dyDescent="0.35">
      <c r="A34" s="18"/>
      <c r="B34" s="24" t="s">
        <v>5</v>
      </c>
      <c r="C34" s="8" t="s">
        <v>19</v>
      </c>
    </row>
    <row r="35" spans="1:44" x14ac:dyDescent="0.3">
      <c r="C35" s="6" t="s">
        <v>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/>
      <c r="K35" s="10"/>
      <c r="L35" s="10"/>
      <c r="M35" s="10"/>
      <c r="N35" s="10"/>
      <c r="O35" s="10"/>
      <c r="P35" s="10">
        <f>SUM(D35:O35)</f>
        <v>0</v>
      </c>
    </row>
    <row r="36" spans="1:44" x14ac:dyDescent="0.3">
      <c r="C36" s="6" t="s">
        <v>8</v>
      </c>
      <c r="D36" s="9">
        <v>250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0">
        <f>SUM(D36:O36)</f>
        <v>250</v>
      </c>
    </row>
    <row r="37" spans="1:44" ht="13.5" thickBot="1" x14ac:dyDescent="0.35">
      <c r="C37" s="6" t="s">
        <v>9</v>
      </c>
      <c r="D37" s="9">
        <f>12916.67+46218.75</f>
        <v>59135.42</v>
      </c>
      <c r="E37" s="9">
        <f>12916.67+46218.75</f>
        <v>59135.42</v>
      </c>
      <c r="F37" s="9">
        <f>12916.67+46218.75</f>
        <v>59135.42</v>
      </c>
      <c r="G37" s="9">
        <f>12916.67+46218.75</f>
        <v>59135.42</v>
      </c>
      <c r="H37" s="9">
        <f>12916.67+46218.75</f>
        <v>59135.42</v>
      </c>
      <c r="I37" s="9">
        <f>13750+45250</f>
        <v>59000</v>
      </c>
      <c r="J37" s="9"/>
      <c r="K37" s="9"/>
      <c r="L37" s="9"/>
      <c r="M37" s="9"/>
      <c r="N37" s="9"/>
      <c r="O37" s="9"/>
      <c r="P37" s="10">
        <f>SUM(D37:O37)</f>
        <v>354677.1</v>
      </c>
    </row>
    <row r="38" spans="1:44" ht="13.5" thickBot="1" x14ac:dyDescent="0.35">
      <c r="C38" s="11" t="s">
        <v>20</v>
      </c>
      <c r="D38" s="12">
        <f t="shared" ref="D38:O38" si="15">SUM(D35:D37)</f>
        <v>59385.42</v>
      </c>
      <c r="E38" s="12">
        <f t="shared" si="15"/>
        <v>59135.42</v>
      </c>
      <c r="F38" s="12">
        <f t="shared" si="15"/>
        <v>59135.42</v>
      </c>
      <c r="G38" s="12">
        <f t="shared" si="15"/>
        <v>59135.42</v>
      </c>
      <c r="H38" s="12">
        <f t="shared" si="15"/>
        <v>59135.42</v>
      </c>
      <c r="I38" s="12">
        <f t="shared" si="15"/>
        <v>59000</v>
      </c>
      <c r="J38" s="12">
        <f t="shared" si="15"/>
        <v>0</v>
      </c>
      <c r="K38" s="12">
        <f t="shared" si="15"/>
        <v>0</v>
      </c>
      <c r="L38" s="12">
        <f t="shared" si="15"/>
        <v>0</v>
      </c>
      <c r="M38" s="12">
        <f t="shared" si="15"/>
        <v>0</v>
      </c>
      <c r="N38" s="12">
        <f t="shared" si="15"/>
        <v>0</v>
      </c>
      <c r="O38" s="12">
        <f t="shared" si="15"/>
        <v>0</v>
      </c>
      <c r="P38" s="12">
        <f>SUM(P35:P37)</f>
        <v>354927.1</v>
      </c>
    </row>
    <row r="39" spans="1:44" x14ac:dyDescent="0.3">
      <c r="C39" s="13"/>
    </row>
    <row r="40" spans="1:44" ht="15.75" customHeight="1" x14ac:dyDescent="0.35">
      <c r="A40" s="18">
        <f>+A28+1</f>
        <v>4</v>
      </c>
      <c r="B40" s="21"/>
      <c r="C40" s="22" t="s">
        <v>21</v>
      </c>
    </row>
    <row r="41" spans="1:44" x14ac:dyDescent="0.3">
      <c r="C41" s="6" t="s">
        <v>7</v>
      </c>
      <c r="D41" s="10">
        <v>209.58</v>
      </c>
      <c r="E41" s="10">
        <v>209.58</v>
      </c>
      <c r="F41" s="10">
        <v>209.58</v>
      </c>
      <c r="G41" s="10">
        <v>209.58</v>
      </c>
      <c r="H41" s="10">
        <v>209.58</v>
      </c>
      <c r="I41" s="10">
        <v>209.58</v>
      </c>
      <c r="J41" s="10">
        <v>209.58</v>
      </c>
      <c r="K41" s="10">
        <v>209.58</v>
      </c>
      <c r="L41" s="10">
        <v>209.58</v>
      </c>
      <c r="M41" s="10">
        <v>209.58</v>
      </c>
      <c r="N41" s="10">
        <v>209.58</v>
      </c>
      <c r="O41" s="10">
        <v>209.58</v>
      </c>
      <c r="P41" s="10">
        <f>SUM(D41:O41)</f>
        <v>2514.9599999999996</v>
      </c>
      <c r="Q41" s="10">
        <v>209.58</v>
      </c>
      <c r="R41" s="10">
        <v>209.58</v>
      </c>
      <c r="S41" s="10">
        <v>209.58</v>
      </c>
      <c r="T41" s="10">
        <v>209.58</v>
      </c>
      <c r="U41" s="10">
        <v>209.58</v>
      </c>
      <c r="V41" s="10">
        <v>209.58</v>
      </c>
      <c r="W41" s="10">
        <v>209.58</v>
      </c>
      <c r="X41" s="10">
        <v>209.58</v>
      </c>
      <c r="Y41" s="10">
        <v>209.58</v>
      </c>
      <c r="Z41" s="10">
        <v>209.58</v>
      </c>
      <c r="AA41" s="10">
        <v>209.58</v>
      </c>
      <c r="AB41" s="10">
        <v>209.58</v>
      </c>
      <c r="AC41" s="10">
        <f>SUM(Q41:AB41)</f>
        <v>2514.9599999999996</v>
      </c>
      <c r="AD41" s="10">
        <v>209.58</v>
      </c>
      <c r="AE41" s="10">
        <v>209.58</v>
      </c>
      <c r="AF41" s="10">
        <v>209.58</v>
      </c>
      <c r="AG41" s="10">
        <v>209.58</v>
      </c>
      <c r="AH41" s="10">
        <v>209.58</v>
      </c>
      <c r="AI41" s="10">
        <v>209.58</v>
      </c>
      <c r="AJ41" s="10">
        <v>209.58</v>
      </c>
      <c r="AK41" s="10">
        <v>209.58</v>
      </c>
      <c r="AL41" s="10">
        <v>209.58</v>
      </c>
      <c r="AM41" s="10">
        <v>209.58</v>
      </c>
      <c r="AN41" s="10">
        <v>209.58</v>
      </c>
      <c r="AO41" s="55">
        <v>209.58</v>
      </c>
      <c r="AP41" s="10">
        <f>SUM(AD41:AO41)</f>
        <v>2514.9599999999996</v>
      </c>
    </row>
    <row r="42" spans="1:44" x14ac:dyDescent="0.3">
      <c r="C42" s="6" t="s">
        <v>8</v>
      </c>
      <c r="D42" s="9">
        <v>250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0">
        <f>SUM(D42:O42)</f>
        <v>250</v>
      </c>
      <c r="Q42" s="9">
        <v>250</v>
      </c>
      <c r="AC42" s="10">
        <f>SUM(Q42:AB42)</f>
        <v>250</v>
      </c>
      <c r="AD42" s="9">
        <v>250</v>
      </c>
      <c r="AE42" s="9"/>
      <c r="AF42" s="9"/>
      <c r="AG42" s="9"/>
      <c r="AH42" s="9"/>
      <c r="AI42" s="9"/>
      <c r="AJ42" s="9"/>
      <c r="AK42" s="9"/>
      <c r="AL42" s="9"/>
      <c r="AM42" s="9"/>
      <c r="AN42" s="23"/>
      <c r="AO42" s="56"/>
      <c r="AP42" s="10">
        <f>SUM(AD42:AO42)</f>
        <v>250</v>
      </c>
    </row>
    <row r="43" spans="1:44" ht="13.5" thickBot="1" x14ac:dyDescent="0.35">
      <c r="C43" s="6" t="s">
        <v>9</v>
      </c>
      <c r="D43" s="9">
        <f t="shared" ref="D43:K43" si="16">6250+24370.31</f>
        <v>30620.31</v>
      </c>
      <c r="E43" s="9">
        <f t="shared" si="16"/>
        <v>30620.31</v>
      </c>
      <c r="F43" s="9">
        <f t="shared" si="16"/>
        <v>30620.31</v>
      </c>
      <c r="G43" s="9">
        <f t="shared" si="16"/>
        <v>30620.31</v>
      </c>
      <c r="H43" s="9">
        <f t="shared" si="16"/>
        <v>30620.31</v>
      </c>
      <c r="I43" s="9">
        <f t="shared" si="16"/>
        <v>30620.31</v>
      </c>
      <c r="J43" s="9">
        <f t="shared" si="16"/>
        <v>30620.31</v>
      </c>
      <c r="K43" s="9">
        <f t="shared" si="16"/>
        <v>30620.31</v>
      </c>
      <c r="L43" s="9">
        <f>6666.67+23901.56</f>
        <v>30568.230000000003</v>
      </c>
      <c r="M43" s="9">
        <f>6666.67+23901.56</f>
        <v>30568.230000000003</v>
      </c>
      <c r="N43" s="9">
        <f>6666.67+23901.56</f>
        <v>30568.230000000003</v>
      </c>
      <c r="O43" s="9">
        <f>6666.67+23901.56</f>
        <v>30568.230000000003</v>
      </c>
      <c r="P43" s="10">
        <f>SUM(D43:O43)</f>
        <v>367235.39999999997</v>
      </c>
      <c r="Q43" s="9">
        <f t="shared" ref="Q43:X43" si="17">6666.67+23901.56</f>
        <v>30568.230000000003</v>
      </c>
      <c r="R43" s="9">
        <f t="shared" si="17"/>
        <v>30568.230000000003</v>
      </c>
      <c r="S43" s="9">
        <f t="shared" si="17"/>
        <v>30568.230000000003</v>
      </c>
      <c r="T43" s="9">
        <f t="shared" si="17"/>
        <v>30568.230000000003</v>
      </c>
      <c r="U43" s="9">
        <f t="shared" si="17"/>
        <v>30568.230000000003</v>
      </c>
      <c r="V43" s="9">
        <f t="shared" si="17"/>
        <v>30568.230000000003</v>
      </c>
      <c r="W43" s="9">
        <f t="shared" si="17"/>
        <v>30568.230000000003</v>
      </c>
      <c r="X43" s="9">
        <f t="shared" si="17"/>
        <v>30568.230000000003</v>
      </c>
      <c r="Y43" s="9">
        <f>7500+23401.56</f>
        <v>30901.56</v>
      </c>
      <c r="Z43" s="9">
        <f>7500+23401.56</f>
        <v>30901.56</v>
      </c>
      <c r="AA43" s="9">
        <f>7500+23401.56</f>
        <v>30901.56</v>
      </c>
      <c r="AB43" s="9">
        <f>7500+23401.56</f>
        <v>30901.56</v>
      </c>
      <c r="AC43" s="10">
        <f>SUM(Q43:AB43)</f>
        <v>368152.08000000007</v>
      </c>
      <c r="AD43" s="9">
        <f t="shared" ref="AD43:AK43" si="18">7500+23401.56</f>
        <v>30901.56</v>
      </c>
      <c r="AE43" s="9">
        <f t="shared" si="18"/>
        <v>30901.56</v>
      </c>
      <c r="AF43" s="9">
        <f t="shared" si="18"/>
        <v>30901.56</v>
      </c>
      <c r="AG43" s="9">
        <f t="shared" si="18"/>
        <v>30901.56</v>
      </c>
      <c r="AH43" s="9">
        <f t="shared" si="18"/>
        <v>30901.56</v>
      </c>
      <c r="AI43" s="9">
        <f t="shared" si="18"/>
        <v>30901.56</v>
      </c>
      <c r="AJ43" s="9">
        <f t="shared" si="18"/>
        <v>30901.56</v>
      </c>
      <c r="AK43" s="9">
        <f t="shared" si="18"/>
        <v>30901.56</v>
      </c>
      <c r="AL43" s="10">
        <f>7916.67+22839.06</f>
        <v>30755.730000000003</v>
      </c>
      <c r="AM43" s="10">
        <f>7916.67+22839.06</f>
        <v>30755.730000000003</v>
      </c>
      <c r="AN43" s="10">
        <f>7916.67+22839.06</f>
        <v>30755.730000000003</v>
      </c>
      <c r="AO43" s="55">
        <f>7916.67+22839.06</f>
        <v>30755.730000000003</v>
      </c>
      <c r="AP43" s="10">
        <f>SUM(AD43:AO43)</f>
        <v>370235.39999999997</v>
      </c>
      <c r="AR43" s="33"/>
    </row>
    <row r="44" spans="1:44" ht="13.5" thickBot="1" x14ac:dyDescent="0.35">
      <c r="C44" s="11" t="s">
        <v>22</v>
      </c>
      <c r="D44" s="12">
        <f t="shared" ref="D44:O44" si="19">SUM(D41:D43)</f>
        <v>31079.890000000003</v>
      </c>
      <c r="E44" s="12">
        <f t="shared" si="19"/>
        <v>30829.890000000003</v>
      </c>
      <c r="F44" s="12">
        <f t="shared" si="19"/>
        <v>30829.890000000003</v>
      </c>
      <c r="G44" s="12">
        <f t="shared" si="19"/>
        <v>30829.890000000003</v>
      </c>
      <c r="H44" s="12">
        <f t="shared" si="19"/>
        <v>30829.890000000003</v>
      </c>
      <c r="I44" s="12">
        <f t="shared" si="19"/>
        <v>30829.890000000003</v>
      </c>
      <c r="J44" s="12">
        <f t="shared" si="19"/>
        <v>30829.890000000003</v>
      </c>
      <c r="K44" s="12">
        <f t="shared" si="19"/>
        <v>30829.890000000003</v>
      </c>
      <c r="L44" s="12">
        <f t="shared" si="19"/>
        <v>30777.810000000005</v>
      </c>
      <c r="M44" s="12">
        <f t="shared" si="19"/>
        <v>30777.810000000005</v>
      </c>
      <c r="N44" s="12">
        <f t="shared" si="19"/>
        <v>30777.810000000005</v>
      </c>
      <c r="O44" s="12">
        <f t="shared" si="19"/>
        <v>30777.810000000005</v>
      </c>
      <c r="P44" s="12">
        <f>SUM(P41:P43)</f>
        <v>370000.36</v>
      </c>
      <c r="Q44" s="12">
        <f t="shared" ref="Q44:AB44" si="20">SUM(Q41:Q43)</f>
        <v>31027.810000000005</v>
      </c>
      <c r="R44" s="12">
        <f t="shared" si="20"/>
        <v>30777.810000000005</v>
      </c>
      <c r="S44" s="12">
        <f t="shared" si="20"/>
        <v>30777.810000000005</v>
      </c>
      <c r="T44" s="12">
        <f t="shared" si="20"/>
        <v>30777.810000000005</v>
      </c>
      <c r="U44" s="12">
        <f t="shared" si="20"/>
        <v>30777.810000000005</v>
      </c>
      <c r="V44" s="12">
        <f t="shared" si="20"/>
        <v>30777.810000000005</v>
      </c>
      <c r="W44" s="12">
        <f t="shared" si="20"/>
        <v>30777.810000000005</v>
      </c>
      <c r="X44" s="12">
        <f t="shared" si="20"/>
        <v>30777.810000000005</v>
      </c>
      <c r="Y44" s="12">
        <f t="shared" si="20"/>
        <v>31111.140000000003</v>
      </c>
      <c r="Z44" s="12">
        <f t="shared" si="20"/>
        <v>31111.140000000003</v>
      </c>
      <c r="AA44" s="12">
        <f t="shared" si="20"/>
        <v>31111.140000000003</v>
      </c>
      <c r="AB44" s="12">
        <f t="shared" si="20"/>
        <v>31111.140000000003</v>
      </c>
      <c r="AC44" s="12">
        <f>SUM(AC41:AC43)</f>
        <v>370917.0400000001</v>
      </c>
      <c r="AD44" s="12">
        <f>SUM(AD41:AD43)</f>
        <v>31361.140000000003</v>
      </c>
      <c r="AE44" s="12">
        <f>SUM(AE41:AE43)</f>
        <v>31111.140000000003</v>
      </c>
      <c r="AF44" s="12">
        <f t="shared" ref="AF44:AO44" si="21">SUM(AF41:AF43)</f>
        <v>31111.140000000003</v>
      </c>
      <c r="AG44" s="12">
        <f t="shared" si="21"/>
        <v>31111.140000000003</v>
      </c>
      <c r="AH44" s="12">
        <f t="shared" si="21"/>
        <v>31111.140000000003</v>
      </c>
      <c r="AI44" s="12">
        <f t="shared" si="21"/>
        <v>31111.140000000003</v>
      </c>
      <c r="AJ44" s="12">
        <f t="shared" si="21"/>
        <v>31111.140000000003</v>
      </c>
      <c r="AK44" s="12">
        <f t="shared" si="21"/>
        <v>31111.140000000003</v>
      </c>
      <c r="AL44" s="12">
        <f t="shared" si="21"/>
        <v>30965.310000000005</v>
      </c>
      <c r="AM44" s="12">
        <f t="shared" si="21"/>
        <v>30965.310000000005</v>
      </c>
      <c r="AN44" s="12">
        <f t="shared" si="21"/>
        <v>30965.310000000005</v>
      </c>
      <c r="AO44" s="57">
        <f t="shared" si="21"/>
        <v>30965.310000000005</v>
      </c>
      <c r="AP44" s="12">
        <f>SUM(AP41:AP43)</f>
        <v>373000.36</v>
      </c>
    </row>
    <row r="45" spans="1:44" x14ac:dyDescent="0.3">
      <c r="C45" s="13"/>
    </row>
    <row r="46" spans="1:44" ht="15.75" customHeight="1" x14ac:dyDescent="0.35">
      <c r="A46" s="18">
        <f>+A40+1</f>
        <v>5</v>
      </c>
      <c r="B46" s="21"/>
      <c r="C46" s="22" t="s">
        <v>23</v>
      </c>
    </row>
    <row r="47" spans="1:44" x14ac:dyDescent="0.3">
      <c r="C47" s="6" t="s">
        <v>7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f>SUM(D47:O47)</f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f>SUM(Q47:AB47)</f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55">
        <v>0</v>
      </c>
      <c r="AP47" s="10">
        <f>SUM(AD47:AO47)</f>
        <v>0</v>
      </c>
    </row>
    <row r="48" spans="1:44" x14ac:dyDescent="0.3">
      <c r="C48" s="6" t="s">
        <v>8</v>
      </c>
      <c r="D48" s="9">
        <v>250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>
        <f>SUM(D48:O48)</f>
        <v>250</v>
      </c>
      <c r="Q48" s="9">
        <v>250</v>
      </c>
      <c r="AC48" s="10">
        <f>SUM(Q48:AB48)</f>
        <v>250</v>
      </c>
      <c r="AD48" s="9">
        <v>250</v>
      </c>
      <c r="AE48" s="9"/>
      <c r="AF48" s="9"/>
      <c r="AG48" s="9"/>
      <c r="AH48" s="9"/>
      <c r="AI48" s="9"/>
      <c r="AJ48" s="9"/>
      <c r="AK48" s="9"/>
      <c r="AL48" s="9"/>
      <c r="AM48" s="9"/>
      <c r="AN48" s="23"/>
      <c r="AO48" s="56"/>
      <c r="AP48" s="10">
        <f>SUM(AD48:AO48)</f>
        <v>250</v>
      </c>
    </row>
    <row r="49" spans="1:44" ht="13.5" thickBot="1" x14ac:dyDescent="0.35">
      <c r="C49" s="6" t="s">
        <v>9</v>
      </c>
      <c r="D49" s="9">
        <f t="shared" ref="D49:K49" si="22">14583.33+8440.63</f>
        <v>23023.96</v>
      </c>
      <c r="E49" s="9">
        <f t="shared" si="22"/>
        <v>23023.96</v>
      </c>
      <c r="F49" s="9">
        <f t="shared" si="22"/>
        <v>23023.96</v>
      </c>
      <c r="G49" s="9">
        <f t="shared" si="22"/>
        <v>23023.96</v>
      </c>
      <c r="H49" s="9">
        <f t="shared" si="22"/>
        <v>23023.96</v>
      </c>
      <c r="I49" s="9">
        <f t="shared" si="22"/>
        <v>23023.96</v>
      </c>
      <c r="J49" s="9">
        <f t="shared" si="22"/>
        <v>23023.96</v>
      </c>
      <c r="K49" s="9">
        <f t="shared" si="22"/>
        <v>23023.96</v>
      </c>
      <c r="L49" s="9">
        <f>15000+7857.29</f>
        <v>22857.29</v>
      </c>
      <c r="M49" s="9">
        <f>15000+7857.29</f>
        <v>22857.29</v>
      </c>
      <c r="N49" s="9">
        <f>15000+7857.29</f>
        <v>22857.29</v>
      </c>
      <c r="O49" s="9">
        <f>15000+7857.29</f>
        <v>22857.29</v>
      </c>
      <c r="P49" s="10">
        <f>SUM(D49:O49)</f>
        <v>275620.83999999997</v>
      </c>
      <c r="Q49" s="9">
        <f t="shared" ref="Q49:X49" si="23">15000+7857.29</f>
        <v>22857.29</v>
      </c>
      <c r="R49" s="9">
        <f t="shared" si="23"/>
        <v>22857.29</v>
      </c>
      <c r="S49" s="9">
        <f t="shared" si="23"/>
        <v>22857.29</v>
      </c>
      <c r="T49" s="9">
        <f t="shared" si="23"/>
        <v>22857.29</v>
      </c>
      <c r="U49" s="9">
        <f t="shared" si="23"/>
        <v>22857.29</v>
      </c>
      <c r="V49" s="9">
        <f t="shared" si="23"/>
        <v>22857.29</v>
      </c>
      <c r="W49" s="9">
        <f t="shared" si="23"/>
        <v>22857.29</v>
      </c>
      <c r="X49" s="9">
        <f t="shared" si="23"/>
        <v>22857.29</v>
      </c>
      <c r="Y49" s="9">
        <f>15833.33+7144.79</f>
        <v>22978.12</v>
      </c>
      <c r="Z49" s="9">
        <f>15833.33+7144.79</f>
        <v>22978.12</v>
      </c>
      <c r="AA49" s="9">
        <f>15833.33+7144.79</f>
        <v>22978.12</v>
      </c>
      <c r="AB49" s="9">
        <f>15833.33+7144.79</f>
        <v>22978.12</v>
      </c>
      <c r="AC49" s="10">
        <f>SUM(Q49:AB49)</f>
        <v>274770.80000000005</v>
      </c>
      <c r="AD49" s="9">
        <f t="shared" ref="AD49:AK49" si="24">15833.33+7144.79</f>
        <v>22978.12</v>
      </c>
      <c r="AE49" s="9">
        <f t="shared" si="24"/>
        <v>22978.12</v>
      </c>
      <c r="AF49" s="9">
        <f t="shared" si="24"/>
        <v>22978.12</v>
      </c>
      <c r="AG49" s="9">
        <f t="shared" si="24"/>
        <v>22978.12</v>
      </c>
      <c r="AH49" s="9">
        <f t="shared" si="24"/>
        <v>22978.12</v>
      </c>
      <c r="AI49" s="9">
        <f t="shared" si="24"/>
        <v>22978.12</v>
      </c>
      <c r="AJ49" s="9">
        <f t="shared" si="24"/>
        <v>22978.12</v>
      </c>
      <c r="AK49" s="9">
        <f t="shared" si="24"/>
        <v>22978.12</v>
      </c>
      <c r="AL49" s="10">
        <f>16666.67+6392.71</f>
        <v>23059.379999999997</v>
      </c>
      <c r="AM49" s="10">
        <f>16666.67+6392.71</f>
        <v>23059.379999999997</v>
      </c>
      <c r="AN49" s="10">
        <f>16666.67+6392.71</f>
        <v>23059.379999999997</v>
      </c>
      <c r="AO49" s="55">
        <f>16666.67+6392.71</f>
        <v>23059.379999999997</v>
      </c>
      <c r="AP49" s="10">
        <f>SUM(AD49:AO49)</f>
        <v>276062.48</v>
      </c>
      <c r="AR49" s="33"/>
    </row>
    <row r="50" spans="1:44" ht="13.5" thickBot="1" x14ac:dyDescent="0.35">
      <c r="C50" s="11" t="s">
        <v>24</v>
      </c>
      <c r="D50" s="12">
        <f t="shared" ref="D50:O50" si="25">SUM(D47:D49)</f>
        <v>23273.96</v>
      </c>
      <c r="E50" s="12">
        <f t="shared" si="25"/>
        <v>23023.96</v>
      </c>
      <c r="F50" s="12">
        <f t="shared" si="25"/>
        <v>23023.96</v>
      </c>
      <c r="G50" s="12">
        <f t="shared" si="25"/>
        <v>23023.96</v>
      </c>
      <c r="H50" s="12">
        <f t="shared" si="25"/>
        <v>23023.96</v>
      </c>
      <c r="I50" s="12">
        <f t="shared" si="25"/>
        <v>23023.96</v>
      </c>
      <c r="J50" s="12">
        <f t="shared" si="25"/>
        <v>23023.96</v>
      </c>
      <c r="K50" s="12">
        <f t="shared" si="25"/>
        <v>23023.96</v>
      </c>
      <c r="L50" s="12">
        <f t="shared" si="25"/>
        <v>22857.29</v>
      </c>
      <c r="M50" s="12">
        <f t="shared" si="25"/>
        <v>22857.29</v>
      </c>
      <c r="N50" s="12">
        <f t="shared" si="25"/>
        <v>22857.29</v>
      </c>
      <c r="O50" s="12">
        <f t="shared" si="25"/>
        <v>22857.29</v>
      </c>
      <c r="P50" s="12">
        <f>SUM(P47:P49)</f>
        <v>275870.83999999997</v>
      </c>
      <c r="Q50" s="12">
        <f t="shared" ref="Q50:AB50" si="26">SUM(Q47:Q49)</f>
        <v>23107.29</v>
      </c>
      <c r="R50" s="12">
        <f t="shared" si="26"/>
        <v>22857.29</v>
      </c>
      <c r="S50" s="12">
        <f t="shared" si="26"/>
        <v>22857.29</v>
      </c>
      <c r="T50" s="12">
        <f t="shared" si="26"/>
        <v>22857.29</v>
      </c>
      <c r="U50" s="12">
        <f t="shared" si="26"/>
        <v>22857.29</v>
      </c>
      <c r="V50" s="12">
        <f t="shared" si="26"/>
        <v>22857.29</v>
      </c>
      <c r="W50" s="12">
        <f t="shared" si="26"/>
        <v>22857.29</v>
      </c>
      <c r="X50" s="12">
        <f t="shared" si="26"/>
        <v>22857.29</v>
      </c>
      <c r="Y50" s="12">
        <f t="shared" si="26"/>
        <v>22978.12</v>
      </c>
      <c r="Z50" s="12">
        <f t="shared" si="26"/>
        <v>22978.12</v>
      </c>
      <c r="AA50" s="12">
        <f t="shared" si="26"/>
        <v>22978.12</v>
      </c>
      <c r="AB50" s="12">
        <f t="shared" si="26"/>
        <v>22978.12</v>
      </c>
      <c r="AC50" s="12">
        <f>SUM(AC47:AC49)</f>
        <v>275020.80000000005</v>
      </c>
      <c r="AD50" s="12">
        <f>SUM(AD47:AD49)</f>
        <v>23228.12</v>
      </c>
      <c r="AE50" s="12">
        <f>SUM(AE47:AE49)</f>
        <v>22978.12</v>
      </c>
      <c r="AF50" s="12">
        <f t="shared" ref="AF50:AO50" si="27">SUM(AF47:AF49)</f>
        <v>22978.12</v>
      </c>
      <c r="AG50" s="12">
        <f t="shared" si="27"/>
        <v>22978.12</v>
      </c>
      <c r="AH50" s="12">
        <f t="shared" si="27"/>
        <v>22978.12</v>
      </c>
      <c r="AI50" s="12">
        <f t="shared" si="27"/>
        <v>22978.12</v>
      </c>
      <c r="AJ50" s="12">
        <f t="shared" si="27"/>
        <v>22978.12</v>
      </c>
      <c r="AK50" s="12">
        <f t="shared" si="27"/>
        <v>22978.12</v>
      </c>
      <c r="AL50" s="12">
        <f t="shared" si="27"/>
        <v>23059.379999999997</v>
      </c>
      <c r="AM50" s="12">
        <f t="shared" si="27"/>
        <v>23059.379999999997</v>
      </c>
      <c r="AN50" s="12">
        <f t="shared" si="27"/>
        <v>23059.379999999997</v>
      </c>
      <c r="AO50" s="57">
        <f t="shared" si="27"/>
        <v>23059.379999999997</v>
      </c>
      <c r="AP50" s="12">
        <f>SUM(AP47:AP49)</f>
        <v>276312.48</v>
      </c>
    </row>
    <row r="51" spans="1:44" x14ac:dyDescent="0.3">
      <c r="C51" s="13"/>
    </row>
    <row r="52" spans="1:44" ht="15.75" customHeight="1" x14ac:dyDescent="0.35">
      <c r="A52" s="18">
        <f>+A46+1</f>
        <v>6</v>
      </c>
      <c r="B52" s="21"/>
      <c r="C52" s="22" t="s">
        <v>25</v>
      </c>
    </row>
    <row r="53" spans="1:44" x14ac:dyDescent="0.3">
      <c r="C53" s="6" t="s">
        <v>7</v>
      </c>
      <c r="D53" s="23">
        <v>592.5</v>
      </c>
      <c r="E53" s="23">
        <v>592.5</v>
      </c>
      <c r="F53" s="23">
        <v>592.5</v>
      </c>
      <c r="G53" s="23">
        <v>592.5</v>
      </c>
      <c r="H53" s="23">
        <v>592.5</v>
      </c>
      <c r="I53" s="23">
        <v>592.5</v>
      </c>
      <c r="J53" s="23">
        <v>592.5</v>
      </c>
      <c r="K53" s="23">
        <v>592.5</v>
      </c>
      <c r="L53" s="23">
        <v>592.5</v>
      </c>
      <c r="M53" s="23">
        <v>592.5</v>
      </c>
      <c r="N53" s="23">
        <v>592.5</v>
      </c>
      <c r="O53" s="23">
        <v>592.5</v>
      </c>
      <c r="P53" s="10">
        <f>SUM(D53:O53)</f>
        <v>7110</v>
      </c>
      <c r="Q53" s="23">
        <v>566.66999999999996</v>
      </c>
      <c r="R53" s="23">
        <v>566.66999999999996</v>
      </c>
      <c r="S53" s="23">
        <v>566.66999999999996</v>
      </c>
      <c r="T53" s="23">
        <v>566.66999999999996</v>
      </c>
      <c r="U53" s="23">
        <v>566.66999999999996</v>
      </c>
      <c r="V53" s="23">
        <v>566.66999999999996</v>
      </c>
      <c r="W53" s="23">
        <v>566.66999999999996</v>
      </c>
      <c r="X53" s="23">
        <v>566.66999999999996</v>
      </c>
      <c r="Y53" s="23">
        <v>566.66999999999996</v>
      </c>
      <c r="Z53" s="23">
        <v>566.66999999999996</v>
      </c>
      <c r="AA53" s="23">
        <v>566.66999999999996</v>
      </c>
      <c r="AB53" s="23">
        <v>566.66999999999996</v>
      </c>
      <c r="AC53" s="10">
        <f>SUM(Q53:AB53)</f>
        <v>6800.04</v>
      </c>
      <c r="AD53" s="10">
        <v>540</v>
      </c>
      <c r="AE53" s="10">
        <v>540</v>
      </c>
      <c r="AF53" s="10">
        <v>540</v>
      </c>
      <c r="AG53" s="10">
        <v>540</v>
      </c>
      <c r="AH53" s="10">
        <v>540</v>
      </c>
      <c r="AI53" s="10">
        <v>540</v>
      </c>
      <c r="AJ53" s="10">
        <v>540</v>
      </c>
      <c r="AK53" s="10">
        <v>540</v>
      </c>
      <c r="AL53" s="10">
        <v>540</v>
      </c>
      <c r="AM53" s="10">
        <v>540</v>
      </c>
      <c r="AN53" s="10">
        <v>540</v>
      </c>
      <c r="AO53" s="55">
        <v>540</v>
      </c>
      <c r="AP53" s="10">
        <f>SUM(AD53:AO53)</f>
        <v>6480</v>
      </c>
    </row>
    <row r="54" spans="1:44" x14ac:dyDescent="0.3">
      <c r="C54" s="6" t="s">
        <v>8</v>
      </c>
      <c r="D54" s="9">
        <v>250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0">
        <f>SUM(D54:O54)</f>
        <v>250</v>
      </c>
      <c r="Q54" s="9">
        <v>250</v>
      </c>
      <c r="AC54" s="10">
        <f>SUM(Q54:AB54)</f>
        <v>250</v>
      </c>
      <c r="AD54" s="9">
        <v>250</v>
      </c>
      <c r="AE54" s="9"/>
      <c r="AF54" s="9"/>
      <c r="AG54" s="9"/>
      <c r="AH54" s="9"/>
      <c r="AI54" s="9"/>
      <c r="AJ54" s="9"/>
      <c r="AK54" s="9"/>
      <c r="AL54" s="9"/>
      <c r="AM54" s="9"/>
      <c r="AN54" s="23"/>
      <c r="AO54" s="56"/>
      <c r="AP54" s="10">
        <f>SUM(AD54:AO54)</f>
        <v>250</v>
      </c>
    </row>
    <row r="55" spans="1:44" ht="13.5" thickBot="1" x14ac:dyDescent="0.35">
      <c r="C55" s="6" t="s">
        <v>9</v>
      </c>
      <c r="D55" s="9">
        <f>25833.33+27706.25</f>
        <v>53539.58</v>
      </c>
      <c r="E55" s="9">
        <f>25833.33+27706.25</f>
        <v>53539.58</v>
      </c>
      <c r="F55" s="9">
        <f>25833.33+27706.25</f>
        <v>53539.58</v>
      </c>
      <c r="G55" s="9">
        <f>25833.33+27706.25</f>
        <v>53539.58</v>
      </c>
      <c r="H55" s="9">
        <f>25833.33+27706.25</f>
        <v>53539.58</v>
      </c>
      <c r="I55" s="9">
        <f>25833.35+27706.25</f>
        <v>53539.6</v>
      </c>
      <c r="J55" s="9">
        <f>25833.33+27286.46</f>
        <v>53119.79</v>
      </c>
      <c r="K55" s="9">
        <f>25833.33+27286.46</f>
        <v>53119.79</v>
      </c>
      <c r="L55" s="9">
        <f>25833.33+27286.46</f>
        <v>53119.79</v>
      </c>
      <c r="M55" s="9">
        <f>25833.33+27286.46</f>
        <v>53119.79</v>
      </c>
      <c r="N55" s="9">
        <f>25833.33+27286.46</f>
        <v>53119.79</v>
      </c>
      <c r="O55" s="9">
        <f>25833.35+27286.45</f>
        <v>53119.8</v>
      </c>
      <c r="P55" s="10">
        <f>SUM(D55:O55)</f>
        <v>639956.25</v>
      </c>
      <c r="Q55" s="9">
        <f>26666.67+26866.67</f>
        <v>53533.34</v>
      </c>
      <c r="R55" s="9">
        <f>26666.67+26866.67</f>
        <v>53533.34</v>
      </c>
      <c r="S55" s="9">
        <f>26666.67+26866.67</f>
        <v>53533.34</v>
      </c>
      <c r="T55" s="9">
        <f>26666.67+26866.67</f>
        <v>53533.34</v>
      </c>
      <c r="U55" s="9">
        <f>26666.67+26866.67</f>
        <v>53533.34</v>
      </c>
      <c r="V55" s="9">
        <f>26666.65+26866.65</f>
        <v>53533.3</v>
      </c>
      <c r="W55" s="9">
        <f>26666.67+26333.33</f>
        <v>53000</v>
      </c>
      <c r="X55" s="9">
        <f>26666.67+26333.33</f>
        <v>53000</v>
      </c>
      <c r="Y55" s="9">
        <f>26666.67+26333.33</f>
        <v>53000</v>
      </c>
      <c r="Z55" s="9">
        <f>26666.67+26333.33</f>
        <v>53000</v>
      </c>
      <c r="AA55" s="9">
        <f>26666.67+26333.33</f>
        <v>53000</v>
      </c>
      <c r="AB55" s="9">
        <f>26666.65+26333.35</f>
        <v>53000</v>
      </c>
      <c r="AC55" s="10">
        <f>SUM(Q55:AB55)</f>
        <v>639200</v>
      </c>
      <c r="AD55" s="10">
        <f>28333.33+25800</f>
        <v>54133.33</v>
      </c>
      <c r="AE55" s="10">
        <f>28333.33+25800</f>
        <v>54133.33</v>
      </c>
      <c r="AF55" s="10">
        <f>28333.33+25800</f>
        <v>54133.33</v>
      </c>
      <c r="AG55" s="10">
        <f>28333.33+25800</f>
        <v>54133.33</v>
      </c>
      <c r="AH55" s="10">
        <f>28333.33+25800</f>
        <v>54133.33</v>
      </c>
      <c r="AI55" s="10">
        <f>28333.35+25800</f>
        <v>54133.35</v>
      </c>
      <c r="AJ55" s="10">
        <f>28333.33+25233.33</f>
        <v>53566.66</v>
      </c>
      <c r="AK55" s="10">
        <f>28333.33+25233.33</f>
        <v>53566.66</v>
      </c>
      <c r="AL55" s="10">
        <f>28333.33+25233.33</f>
        <v>53566.66</v>
      </c>
      <c r="AM55" s="10">
        <f>28333.33+25233.33</f>
        <v>53566.66</v>
      </c>
      <c r="AN55" s="10">
        <f>28333.33+25233.33</f>
        <v>53566.66</v>
      </c>
      <c r="AO55" s="55">
        <f>28333.35+25233.35</f>
        <v>53566.7</v>
      </c>
      <c r="AP55" s="10">
        <f>SUM(AD55:AO55)</f>
        <v>646200.00000000012</v>
      </c>
      <c r="AR55" s="33"/>
    </row>
    <row r="56" spans="1:44" ht="13.5" thickBot="1" x14ac:dyDescent="0.35">
      <c r="C56" s="11" t="s">
        <v>26</v>
      </c>
      <c r="D56" s="12">
        <f t="shared" ref="D56:O56" si="28">SUM(D53:D55)</f>
        <v>54382.080000000002</v>
      </c>
      <c r="E56" s="12">
        <f t="shared" si="28"/>
        <v>54132.08</v>
      </c>
      <c r="F56" s="12">
        <f t="shared" si="28"/>
        <v>54132.08</v>
      </c>
      <c r="G56" s="12">
        <f t="shared" si="28"/>
        <v>54132.08</v>
      </c>
      <c r="H56" s="12">
        <f t="shared" si="28"/>
        <v>54132.08</v>
      </c>
      <c r="I56" s="12">
        <f t="shared" si="28"/>
        <v>54132.1</v>
      </c>
      <c r="J56" s="12">
        <f t="shared" si="28"/>
        <v>53712.29</v>
      </c>
      <c r="K56" s="12">
        <f t="shared" si="28"/>
        <v>53712.29</v>
      </c>
      <c r="L56" s="12">
        <f t="shared" si="28"/>
        <v>53712.29</v>
      </c>
      <c r="M56" s="12">
        <f t="shared" si="28"/>
        <v>53712.29</v>
      </c>
      <c r="N56" s="12">
        <f t="shared" si="28"/>
        <v>53712.29</v>
      </c>
      <c r="O56" s="12">
        <f t="shared" si="28"/>
        <v>53712.3</v>
      </c>
      <c r="P56" s="12">
        <f>SUM(P53:P55)</f>
        <v>647316.25</v>
      </c>
      <c r="Q56" s="12">
        <f t="shared" ref="Q56:AB56" si="29">SUM(Q53:Q55)</f>
        <v>54350.009999999995</v>
      </c>
      <c r="R56" s="12">
        <f t="shared" si="29"/>
        <v>54100.009999999995</v>
      </c>
      <c r="S56" s="12">
        <f t="shared" si="29"/>
        <v>54100.009999999995</v>
      </c>
      <c r="T56" s="12">
        <f t="shared" si="29"/>
        <v>54100.009999999995</v>
      </c>
      <c r="U56" s="12">
        <f t="shared" si="29"/>
        <v>54100.009999999995</v>
      </c>
      <c r="V56" s="12">
        <f t="shared" si="29"/>
        <v>54099.97</v>
      </c>
      <c r="W56" s="12">
        <f t="shared" si="29"/>
        <v>53566.67</v>
      </c>
      <c r="X56" s="12">
        <f t="shared" si="29"/>
        <v>53566.67</v>
      </c>
      <c r="Y56" s="12">
        <f t="shared" si="29"/>
        <v>53566.67</v>
      </c>
      <c r="Z56" s="12">
        <f t="shared" si="29"/>
        <v>53566.67</v>
      </c>
      <c r="AA56" s="12">
        <f t="shared" si="29"/>
        <v>53566.67</v>
      </c>
      <c r="AB56" s="12">
        <f t="shared" si="29"/>
        <v>53566.67</v>
      </c>
      <c r="AC56" s="12">
        <f>SUM(AC53:AC55)</f>
        <v>646250.04</v>
      </c>
      <c r="AD56" s="12">
        <f>SUM(AD53:AD55)</f>
        <v>54923.33</v>
      </c>
      <c r="AE56" s="12">
        <f>SUM(AE53:AE55)</f>
        <v>54673.33</v>
      </c>
      <c r="AF56" s="12">
        <f t="shared" ref="AF56:AO56" si="30">SUM(AF53:AF55)</f>
        <v>54673.33</v>
      </c>
      <c r="AG56" s="12">
        <f t="shared" si="30"/>
        <v>54673.33</v>
      </c>
      <c r="AH56" s="12">
        <f t="shared" si="30"/>
        <v>54673.33</v>
      </c>
      <c r="AI56" s="12">
        <f t="shared" si="30"/>
        <v>54673.35</v>
      </c>
      <c r="AJ56" s="12">
        <f t="shared" si="30"/>
        <v>54106.66</v>
      </c>
      <c r="AK56" s="12">
        <f t="shared" si="30"/>
        <v>54106.66</v>
      </c>
      <c r="AL56" s="12">
        <f t="shared" si="30"/>
        <v>54106.66</v>
      </c>
      <c r="AM56" s="12">
        <f t="shared" si="30"/>
        <v>54106.66</v>
      </c>
      <c r="AN56" s="12">
        <f t="shared" si="30"/>
        <v>54106.66</v>
      </c>
      <c r="AO56" s="57">
        <f t="shared" si="30"/>
        <v>54106.7</v>
      </c>
      <c r="AP56" s="12">
        <f>SUM(AP53:AP55)</f>
        <v>652930.00000000012</v>
      </c>
    </row>
    <row r="57" spans="1:44" x14ac:dyDescent="0.3">
      <c r="C57" s="13"/>
    </row>
    <row r="58" spans="1:44" ht="15.75" customHeight="1" x14ac:dyDescent="0.35">
      <c r="A58" s="18"/>
      <c r="B58" s="24" t="s">
        <v>5</v>
      </c>
      <c r="C58" s="8" t="s">
        <v>27</v>
      </c>
    </row>
    <row r="59" spans="1:44" x14ac:dyDescent="0.3">
      <c r="C59" s="6" t="s">
        <v>7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f>SUM(D59:O59)</f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/>
      <c r="AC59" s="10">
        <f>SUM(Q59:AB59)</f>
        <v>0</v>
      </c>
    </row>
    <row r="60" spans="1:44" x14ac:dyDescent="0.3">
      <c r="C60" s="6" t="s">
        <v>8</v>
      </c>
      <c r="D60" s="9">
        <v>250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>
        <f>SUM(D60:O60)</f>
        <v>250</v>
      </c>
      <c r="Q60" s="9">
        <v>250</v>
      </c>
      <c r="AC60" s="10">
        <f>SUM(Q60:AB60)</f>
        <v>250</v>
      </c>
    </row>
    <row r="61" spans="1:44" ht="13.5" thickBot="1" x14ac:dyDescent="0.35">
      <c r="C61" s="6" t="s">
        <v>9</v>
      </c>
      <c r="D61" s="9">
        <f>10833.33+38208.33</f>
        <v>49041.66</v>
      </c>
      <c r="E61" s="9">
        <f>10833.33+38208.33</f>
        <v>49041.66</v>
      </c>
      <c r="F61" s="9">
        <f>10833.37+38208.35</f>
        <v>49041.72</v>
      </c>
      <c r="G61" s="9">
        <f>11666.67+37450</f>
        <v>49116.67</v>
      </c>
      <c r="H61" s="9">
        <f t="shared" ref="H61:R61" si="31">11666.67+37450</f>
        <v>49116.67</v>
      </c>
      <c r="I61" s="9">
        <f t="shared" si="31"/>
        <v>49116.67</v>
      </c>
      <c r="J61" s="9">
        <f t="shared" si="31"/>
        <v>49116.67</v>
      </c>
      <c r="K61" s="9">
        <f t="shared" si="31"/>
        <v>49116.67</v>
      </c>
      <c r="L61" s="9">
        <f t="shared" si="31"/>
        <v>49116.67</v>
      </c>
      <c r="M61" s="9">
        <f t="shared" si="31"/>
        <v>49116.67</v>
      </c>
      <c r="N61" s="9">
        <f t="shared" si="31"/>
        <v>49116.67</v>
      </c>
      <c r="O61" s="9">
        <f t="shared" si="31"/>
        <v>49116.67</v>
      </c>
      <c r="P61" s="10">
        <f>SUM(D61:O61)</f>
        <v>589175.06999999995</v>
      </c>
      <c r="Q61" s="9">
        <f t="shared" si="31"/>
        <v>49116.67</v>
      </c>
      <c r="R61" s="9">
        <f t="shared" si="31"/>
        <v>49116.67</v>
      </c>
      <c r="S61" s="9">
        <f>11666.63+37450</f>
        <v>49116.63</v>
      </c>
      <c r="T61" s="9">
        <f>12500+36633.33</f>
        <v>49133.33</v>
      </c>
      <c r="U61" s="9">
        <f t="shared" ref="U61:AA61" si="32">12500+36633.33</f>
        <v>49133.33</v>
      </c>
      <c r="V61" s="9">
        <f t="shared" si="32"/>
        <v>49133.33</v>
      </c>
      <c r="W61" s="9">
        <f t="shared" si="32"/>
        <v>49133.33</v>
      </c>
      <c r="X61" s="9">
        <f t="shared" si="32"/>
        <v>49133.33</v>
      </c>
      <c r="Y61" s="9">
        <f>12500+36633.35</f>
        <v>49133.35</v>
      </c>
      <c r="Z61" s="9">
        <f t="shared" si="32"/>
        <v>49133.33</v>
      </c>
      <c r="AA61" s="9">
        <f t="shared" si="32"/>
        <v>49133.33</v>
      </c>
      <c r="AB61" s="9"/>
      <c r="AC61" s="10">
        <f>SUM(Q61:AB61)</f>
        <v>540416.63</v>
      </c>
    </row>
    <row r="62" spans="1:44" ht="13.5" thickBot="1" x14ac:dyDescent="0.35">
      <c r="C62" s="11" t="s">
        <v>28</v>
      </c>
      <c r="D62" s="12">
        <f t="shared" ref="D62:O62" si="33">SUM(D59:D61)</f>
        <v>49291.66</v>
      </c>
      <c r="E62" s="12">
        <f t="shared" si="33"/>
        <v>49041.66</v>
      </c>
      <c r="F62" s="12">
        <f t="shared" si="33"/>
        <v>49041.72</v>
      </c>
      <c r="G62" s="12">
        <f t="shared" si="33"/>
        <v>49116.67</v>
      </c>
      <c r="H62" s="12">
        <f t="shared" si="33"/>
        <v>49116.67</v>
      </c>
      <c r="I62" s="12">
        <f t="shared" si="33"/>
        <v>49116.67</v>
      </c>
      <c r="J62" s="12">
        <f t="shared" si="33"/>
        <v>49116.67</v>
      </c>
      <c r="K62" s="12">
        <f t="shared" si="33"/>
        <v>49116.67</v>
      </c>
      <c r="L62" s="12">
        <f t="shared" si="33"/>
        <v>49116.67</v>
      </c>
      <c r="M62" s="12">
        <f t="shared" si="33"/>
        <v>49116.67</v>
      </c>
      <c r="N62" s="12">
        <f t="shared" si="33"/>
        <v>49116.67</v>
      </c>
      <c r="O62" s="12">
        <f t="shared" si="33"/>
        <v>49116.67</v>
      </c>
      <c r="P62" s="12">
        <f>SUM(P59:P61)</f>
        <v>589425.06999999995</v>
      </c>
      <c r="Q62" s="12">
        <f t="shared" ref="Q62:AB62" si="34">SUM(Q59:Q61)</f>
        <v>49366.67</v>
      </c>
      <c r="R62" s="12">
        <f t="shared" si="34"/>
        <v>49116.67</v>
      </c>
      <c r="S62" s="12">
        <f t="shared" si="34"/>
        <v>49116.63</v>
      </c>
      <c r="T62" s="12">
        <f t="shared" si="34"/>
        <v>49133.33</v>
      </c>
      <c r="U62" s="12">
        <f t="shared" si="34"/>
        <v>49133.33</v>
      </c>
      <c r="V62" s="12">
        <f t="shared" si="34"/>
        <v>49133.33</v>
      </c>
      <c r="W62" s="12">
        <f t="shared" si="34"/>
        <v>49133.33</v>
      </c>
      <c r="X62" s="12">
        <f t="shared" si="34"/>
        <v>49133.33</v>
      </c>
      <c r="Y62" s="12">
        <f t="shared" si="34"/>
        <v>49133.35</v>
      </c>
      <c r="Z62" s="12">
        <f t="shared" si="34"/>
        <v>49133.33</v>
      </c>
      <c r="AA62" s="12">
        <f t="shared" si="34"/>
        <v>49133.33</v>
      </c>
      <c r="AB62" s="12">
        <f t="shared" si="34"/>
        <v>0</v>
      </c>
      <c r="AC62" s="12">
        <f>SUM(AC59:AC61)</f>
        <v>540666.63</v>
      </c>
    </row>
    <row r="63" spans="1:44" x14ac:dyDescent="0.3">
      <c r="C63" s="13"/>
    </row>
    <row r="64" spans="1:44" ht="15.75" customHeight="1" x14ac:dyDescent="0.35">
      <c r="A64" s="18">
        <f>A52+1</f>
        <v>7</v>
      </c>
      <c r="B64" s="21"/>
      <c r="C64" s="22" t="s">
        <v>29</v>
      </c>
    </row>
    <row r="65" spans="1:44" x14ac:dyDescent="0.3">
      <c r="C65" s="6" t="s">
        <v>7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f>SUM(D65:O65)</f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f>SUM(Q65:AB65)</f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55">
        <v>0</v>
      </c>
      <c r="AP65" s="10">
        <f>SUM(AD65:AO65)</f>
        <v>0</v>
      </c>
    </row>
    <row r="66" spans="1:44" x14ac:dyDescent="0.3">
      <c r="C66" s="6" t="s">
        <v>8</v>
      </c>
      <c r="D66" s="9">
        <v>250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>
        <f>SUM(D66:O66)</f>
        <v>250</v>
      </c>
      <c r="Q66" s="9">
        <v>250</v>
      </c>
      <c r="AC66" s="10">
        <f>SUM(Q66:AB66)</f>
        <v>250</v>
      </c>
      <c r="AD66" s="9">
        <v>250</v>
      </c>
      <c r="AE66" s="9"/>
      <c r="AF66" s="9"/>
      <c r="AG66" s="9"/>
      <c r="AH66" s="9"/>
      <c r="AI66" s="9"/>
      <c r="AJ66" s="9"/>
      <c r="AK66" s="9"/>
      <c r="AL66" s="9"/>
      <c r="AM66" s="9"/>
      <c r="AN66" s="23"/>
      <c r="AO66" s="56"/>
      <c r="AP66" s="10">
        <f>SUM(AD66:AO66)</f>
        <v>250</v>
      </c>
    </row>
    <row r="67" spans="1:44" ht="13.5" thickBot="1" x14ac:dyDescent="0.35">
      <c r="C67" s="6" t="s">
        <v>9</v>
      </c>
      <c r="D67" s="9">
        <f>12916.67+26916.67</f>
        <v>39833.339999999997</v>
      </c>
      <c r="E67" s="9">
        <f>12916.67+26916.67</f>
        <v>39833.339999999997</v>
      </c>
      <c r="F67" s="9">
        <f>12916.67+26916.67</f>
        <v>39833.339999999997</v>
      </c>
      <c r="G67" s="9">
        <f>12916.63+26916.65</f>
        <v>39833.279999999999</v>
      </c>
      <c r="H67" s="9">
        <f>13333.33+26270.83</f>
        <v>39604.160000000003</v>
      </c>
      <c r="I67" s="9">
        <f t="shared" ref="I67:S67" si="35">13333.33+26270.83</f>
        <v>39604.160000000003</v>
      </c>
      <c r="J67" s="9">
        <f t="shared" si="35"/>
        <v>39604.160000000003</v>
      </c>
      <c r="K67" s="9">
        <f t="shared" si="35"/>
        <v>39604.160000000003</v>
      </c>
      <c r="L67" s="9">
        <f t="shared" si="35"/>
        <v>39604.160000000003</v>
      </c>
      <c r="M67" s="9">
        <f>13333.33+26270.85</f>
        <v>39604.18</v>
      </c>
      <c r="N67" s="9">
        <f t="shared" si="35"/>
        <v>39604.160000000003</v>
      </c>
      <c r="O67" s="9">
        <f t="shared" si="35"/>
        <v>39604.160000000003</v>
      </c>
      <c r="P67" s="10">
        <f>SUM(D67:O67)</f>
        <v>476166.60000000009</v>
      </c>
      <c r="Q67" s="9">
        <f t="shared" si="35"/>
        <v>39604.160000000003</v>
      </c>
      <c r="R67" s="9">
        <f t="shared" si="35"/>
        <v>39604.160000000003</v>
      </c>
      <c r="S67" s="9">
        <f t="shared" si="35"/>
        <v>39604.160000000003</v>
      </c>
      <c r="T67" s="9">
        <f>13333.37+26270.85</f>
        <v>39604.22</v>
      </c>
      <c r="U67" s="9">
        <f>14166.67+25604.17</f>
        <v>39770.839999999997</v>
      </c>
      <c r="V67" s="9">
        <f t="shared" ref="V67:AF67" si="36">14166.67+25604.17</f>
        <v>39770.839999999997</v>
      </c>
      <c r="W67" s="9">
        <f t="shared" si="36"/>
        <v>39770.839999999997</v>
      </c>
      <c r="X67" s="9">
        <f t="shared" si="36"/>
        <v>39770.839999999997</v>
      </c>
      <c r="Y67" s="9">
        <f t="shared" si="36"/>
        <v>39770.839999999997</v>
      </c>
      <c r="Z67" s="9">
        <f>14166.67+25604.15</f>
        <v>39770.82</v>
      </c>
      <c r="AA67" s="9">
        <f t="shared" si="36"/>
        <v>39770.839999999997</v>
      </c>
      <c r="AB67" s="9">
        <f t="shared" si="36"/>
        <v>39770.839999999997</v>
      </c>
      <c r="AC67" s="10">
        <f>SUM(Q67:AB67)</f>
        <v>476583.39999999991</v>
      </c>
      <c r="AD67" s="9">
        <f t="shared" si="36"/>
        <v>39770.839999999997</v>
      </c>
      <c r="AE67" s="9">
        <f t="shared" si="36"/>
        <v>39770.839999999997</v>
      </c>
      <c r="AF67" s="9">
        <f t="shared" si="36"/>
        <v>39770.839999999997</v>
      </c>
      <c r="AG67" s="9">
        <f>14166.63+25604.15</f>
        <v>39770.78</v>
      </c>
      <c r="AH67" s="10">
        <f>15000+24895.83</f>
        <v>39895.83</v>
      </c>
      <c r="AI67" s="10">
        <f t="shared" ref="AI67:AO67" si="37">15000+24895.83</f>
        <v>39895.83</v>
      </c>
      <c r="AJ67" s="10">
        <f t="shared" si="37"/>
        <v>39895.83</v>
      </c>
      <c r="AK67" s="10">
        <f t="shared" si="37"/>
        <v>39895.83</v>
      </c>
      <c r="AL67" s="10">
        <f t="shared" si="37"/>
        <v>39895.83</v>
      </c>
      <c r="AM67" s="10">
        <f>15000+24895.85</f>
        <v>39895.85</v>
      </c>
      <c r="AN67" s="10">
        <f t="shared" si="37"/>
        <v>39895.83</v>
      </c>
      <c r="AO67" s="55">
        <f t="shared" si="37"/>
        <v>39895.83</v>
      </c>
      <c r="AP67" s="10">
        <f>SUM(AD67:AO67)</f>
        <v>478249.96000000008</v>
      </c>
      <c r="AR67" s="33"/>
    </row>
    <row r="68" spans="1:44" ht="13.5" thickBot="1" x14ac:dyDescent="0.35">
      <c r="C68" s="11" t="s">
        <v>30</v>
      </c>
      <c r="D68" s="12">
        <f t="shared" ref="D68:O68" si="38">SUM(D65:D67)</f>
        <v>40083.339999999997</v>
      </c>
      <c r="E68" s="12">
        <f t="shared" si="38"/>
        <v>39833.339999999997</v>
      </c>
      <c r="F68" s="12">
        <f t="shared" si="38"/>
        <v>39833.339999999997</v>
      </c>
      <c r="G68" s="12">
        <f t="shared" si="38"/>
        <v>39833.279999999999</v>
      </c>
      <c r="H68" s="12">
        <f t="shared" si="38"/>
        <v>39604.160000000003</v>
      </c>
      <c r="I68" s="12">
        <f t="shared" si="38"/>
        <v>39604.160000000003</v>
      </c>
      <c r="J68" s="12">
        <f t="shared" si="38"/>
        <v>39604.160000000003</v>
      </c>
      <c r="K68" s="12">
        <f t="shared" si="38"/>
        <v>39604.160000000003</v>
      </c>
      <c r="L68" s="12">
        <f t="shared" si="38"/>
        <v>39604.160000000003</v>
      </c>
      <c r="M68" s="12">
        <f t="shared" si="38"/>
        <v>39604.18</v>
      </c>
      <c r="N68" s="12">
        <f t="shared" si="38"/>
        <v>39604.160000000003</v>
      </c>
      <c r="O68" s="12">
        <f t="shared" si="38"/>
        <v>39604.160000000003</v>
      </c>
      <c r="P68" s="12">
        <f>SUM(P65:P67)</f>
        <v>476416.60000000009</v>
      </c>
      <c r="Q68" s="12">
        <f t="shared" ref="Q68:AB68" si="39">SUM(Q65:Q67)</f>
        <v>39854.160000000003</v>
      </c>
      <c r="R68" s="12">
        <f t="shared" si="39"/>
        <v>39604.160000000003</v>
      </c>
      <c r="S68" s="12">
        <f t="shared" si="39"/>
        <v>39604.160000000003</v>
      </c>
      <c r="T68" s="12">
        <f t="shared" si="39"/>
        <v>39604.22</v>
      </c>
      <c r="U68" s="12">
        <f t="shared" si="39"/>
        <v>39770.839999999997</v>
      </c>
      <c r="V68" s="12">
        <f t="shared" si="39"/>
        <v>39770.839999999997</v>
      </c>
      <c r="W68" s="12">
        <f t="shared" si="39"/>
        <v>39770.839999999997</v>
      </c>
      <c r="X68" s="12">
        <f t="shared" si="39"/>
        <v>39770.839999999997</v>
      </c>
      <c r="Y68" s="12">
        <f t="shared" si="39"/>
        <v>39770.839999999997</v>
      </c>
      <c r="Z68" s="12">
        <f t="shared" si="39"/>
        <v>39770.82</v>
      </c>
      <c r="AA68" s="12">
        <f t="shared" si="39"/>
        <v>39770.839999999997</v>
      </c>
      <c r="AB68" s="12">
        <f t="shared" si="39"/>
        <v>39770.839999999997</v>
      </c>
      <c r="AC68" s="12">
        <f>SUM(AC65:AC67)</f>
        <v>476833.39999999991</v>
      </c>
      <c r="AD68" s="12">
        <f>SUM(AD65:AD67)</f>
        <v>40020.839999999997</v>
      </c>
      <c r="AE68" s="12">
        <f>SUM(AE65:AE67)</f>
        <v>39770.839999999997</v>
      </c>
      <c r="AF68" s="12">
        <f t="shared" ref="AF68:AO68" si="40">SUM(AF65:AF67)</f>
        <v>39770.839999999997</v>
      </c>
      <c r="AG68" s="12">
        <f t="shared" si="40"/>
        <v>39770.78</v>
      </c>
      <c r="AH68" s="12">
        <f t="shared" si="40"/>
        <v>39895.83</v>
      </c>
      <c r="AI68" s="12">
        <f t="shared" si="40"/>
        <v>39895.83</v>
      </c>
      <c r="AJ68" s="12">
        <f t="shared" si="40"/>
        <v>39895.83</v>
      </c>
      <c r="AK68" s="12">
        <f t="shared" si="40"/>
        <v>39895.83</v>
      </c>
      <c r="AL68" s="12">
        <f t="shared" si="40"/>
        <v>39895.83</v>
      </c>
      <c r="AM68" s="12">
        <f t="shared" si="40"/>
        <v>39895.85</v>
      </c>
      <c r="AN68" s="12">
        <f t="shared" si="40"/>
        <v>39895.83</v>
      </c>
      <c r="AO68" s="57">
        <f t="shared" si="40"/>
        <v>39895.83</v>
      </c>
      <c r="AP68" s="12">
        <f>SUM(AP65:AP67)</f>
        <v>478499.96000000008</v>
      </c>
    </row>
    <row r="69" spans="1:44" x14ac:dyDescent="0.3">
      <c r="C69" s="13"/>
    </row>
    <row r="70" spans="1:44" ht="15.75" customHeight="1" x14ac:dyDescent="0.35">
      <c r="A70" s="18">
        <f>+A64+1</f>
        <v>8</v>
      </c>
      <c r="B70" s="21"/>
      <c r="C70" s="22" t="s">
        <v>31</v>
      </c>
    </row>
    <row r="71" spans="1:44" x14ac:dyDescent="0.3">
      <c r="C71" s="6" t="str">
        <f>C65</f>
        <v>Debt Reserve</v>
      </c>
      <c r="D71" s="23">
        <v>1125.83</v>
      </c>
      <c r="E71" s="23">
        <v>1125.83</v>
      </c>
      <c r="F71" s="23">
        <v>1125.83</v>
      </c>
      <c r="G71" s="23">
        <v>1125.83</v>
      </c>
      <c r="H71" s="23">
        <v>1125.83</v>
      </c>
      <c r="I71" s="23">
        <v>1125.83</v>
      </c>
      <c r="J71" s="23">
        <v>1125.83</v>
      </c>
      <c r="K71" s="23">
        <v>1125.83</v>
      </c>
      <c r="L71" s="23">
        <v>1061.25</v>
      </c>
      <c r="M71" s="23">
        <v>1061.25</v>
      </c>
      <c r="N71" s="23">
        <v>1061.25</v>
      </c>
      <c r="O71" s="23">
        <v>1061.25</v>
      </c>
      <c r="P71" s="10">
        <f>SUM(D71:O71)</f>
        <v>13251.64</v>
      </c>
      <c r="Q71" s="23">
        <v>1061.25</v>
      </c>
      <c r="R71" s="23">
        <v>1061.25</v>
      </c>
      <c r="S71" s="23">
        <v>1061.25</v>
      </c>
      <c r="T71" s="23">
        <v>1061.25</v>
      </c>
      <c r="U71" s="23">
        <v>1061.25</v>
      </c>
      <c r="V71" s="23">
        <v>1061.25</v>
      </c>
      <c r="W71" s="23">
        <v>1061.25</v>
      </c>
      <c r="X71" s="23">
        <v>1061.25</v>
      </c>
      <c r="Y71" s="23">
        <v>993.75</v>
      </c>
      <c r="Z71" s="23">
        <v>993.75</v>
      </c>
      <c r="AA71" s="23">
        <v>993.75</v>
      </c>
      <c r="AB71" s="23">
        <v>993.75</v>
      </c>
      <c r="AC71" s="10">
        <f>SUM(Q71:AB71)</f>
        <v>12465</v>
      </c>
      <c r="AD71" s="23">
        <v>993.75</v>
      </c>
      <c r="AE71" s="23">
        <v>993.75</v>
      </c>
      <c r="AF71" s="23">
        <v>993.75</v>
      </c>
      <c r="AG71" s="23">
        <v>993.75</v>
      </c>
      <c r="AH71" s="23">
        <v>993.75</v>
      </c>
      <c r="AI71" s="23">
        <v>993.75</v>
      </c>
      <c r="AJ71" s="23">
        <v>993.75</v>
      </c>
      <c r="AK71" s="23">
        <v>993.75</v>
      </c>
      <c r="AL71" s="10">
        <v>923.33</v>
      </c>
      <c r="AM71" s="10">
        <v>923.33</v>
      </c>
      <c r="AN71" s="10">
        <v>923.33</v>
      </c>
      <c r="AO71" s="55">
        <v>923.33</v>
      </c>
      <c r="AP71" s="10">
        <f>SUM(AD71:AO71)</f>
        <v>11643.32</v>
      </c>
    </row>
    <row r="72" spans="1:44" x14ac:dyDescent="0.3">
      <c r="C72" s="6" t="str">
        <f>C66</f>
        <v>Treasury Fee</v>
      </c>
      <c r="D72" s="9">
        <v>250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0">
        <f>SUM(D72:O72)</f>
        <v>250</v>
      </c>
      <c r="Q72" s="9">
        <v>250</v>
      </c>
      <c r="AC72" s="10">
        <f>SUM(Q72:AB72)</f>
        <v>250</v>
      </c>
      <c r="AD72" s="9">
        <v>250</v>
      </c>
      <c r="AE72" s="9"/>
      <c r="AF72" s="9"/>
      <c r="AG72" s="9"/>
      <c r="AH72" s="9"/>
      <c r="AI72" s="9"/>
      <c r="AJ72" s="9"/>
      <c r="AK72" s="9"/>
      <c r="AL72" s="9"/>
      <c r="AM72" s="9"/>
      <c r="AN72" s="23"/>
      <c r="AO72" s="56"/>
      <c r="AP72" s="10">
        <f>SUM(AD72:AO72)</f>
        <v>250</v>
      </c>
    </row>
    <row r="73" spans="1:44" ht="13.5" thickBot="1" x14ac:dyDescent="0.35">
      <c r="C73" s="6" t="str">
        <f>C67</f>
        <v>Intercept</v>
      </c>
      <c r="D73" s="9">
        <f t="shared" ref="D73:N73" si="41">67500+47682.29</f>
        <v>115182.29000000001</v>
      </c>
      <c r="E73" s="9">
        <f t="shared" si="41"/>
        <v>115182.29000000001</v>
      </c>
      <c r="F73" s="9">
        <f t="shared" si="41"/>
        <v>115182.29000000001</v>
      </c>
      <c r="G73" s="9">
        <f t="shared" si="41"/>
        <v>115182.29000000001</v>
      </c>
      <c r="H73" s="9">
        <f t="shared" si="41"/>
        <v>115182.29000000001</v>
      </c>
      <c r="I73" s="9">
        <f t="shared" si="41"/>
        <v>115182.29000000001</v>
      </c>
      <c r="J73" s="9">
        <f t="shared" si="41"/>
        <v>115182.29000000001</v>
      </c>
      <c r="K73" s="9">
        <f t="shared" si="41"/>
        <v>115182.29000000001</v>
      </c>
      <c r="L73" s="9">
        <f t="shared" si="41"/>
        <v>115182.29000000001</v>
      </c>
      <c r="M73" s="9">
        <f t="shared" si="41"/>
        <v>115182.29000000001</v>
      </c>
      <c r="N73" s="9">
        <f t="shared" si="41"/>
        <v>115182.29000000001</v>
      </c>
      <c r="O73" s="9">
        <f>70416.67+44982.29</f>
        <v>115398.95999999999</v>
      </c>
      <c r="P73" s="10">
        <f>SUM(D73:O73)</f>
        <v>1382404.1500000001</v>
      </c>
      <c r="Q73" s="9">
        <f t="shared" ref="Q73:AA73" si="42">70416.67+44982.29</f>
        <v>115398.95999999999</v>
      </c>
      <c r="R73" s="9">
        <f t="shared" si="42"/>
        <v>115398.95999999999</v>
      </c>
      <c r="S73" s="9">
        <f t="shared" si="42"/>
        <v>115398.95999999999</v>
      </c>
      <c r="T73" s="9">
        <f t="shared" si="42"/>
        <v>115398.95999999999</v>
      </c>
      <c r="U73" s="9">
        <f t="shared" si="42"/>
        <v>115398.95999999999</v>
      </c>
      <c r="V73" s="9">
        <f t="shared" si="42"/>
        <v>115398.95999999999</v>
      </c>
      <c r="W73" s="9">
        <f t="shared" si="42"/>
        <v>115398.95999999999</v>
      </c>
      <c r="X73" s="9">
        <f t="shared" si="42"/>
        <v>115398.95999999999</v>
      </c>
      <c r="Y73" s="9">
        <f t="shared" si="42"/>
        <v>115398.95999999999</v>
      </c>
      <c r="Z73" s="9">
        <f t="shared" si="42"/>
        <v>115398.95999999999</v>
      </c>
      <c r="AA73" s="9">
        <f t="shared" si="42"/>
        <v>115398.95999999999</v>
      </c>
      <c r="AB73" s="9">
        <f>74166.67+41461.46</f>
        <v>115628.13</v>
      </c>
      <c r="AC73" s="10">
        <f>SUM(Q73:AB73)</f>
        <v>1385016.69</v>
      </c>
      <c r="AD73" s="9">
        <f t="shared" ref="AD73:AN73" si="43">74166.67+41461.46</f>
        <v>115628.13</v>
      </c>
      <c r="AE73" s="9">
        <f t="shared" si="43"/>
        <v>115628.13</v>
      </c>
      <c r="AF73" s="9">
        <f t="shared" si="43"/>
        <v>115628.13</v>
      </c>
      <c r="AG73" s="9">
        <f t="shared" si="43"/>
        <v>115628.13</v>
      </c>
      <c r="AH73" s="9">
        <f t="shared" si="43"/>
        <v>115628.13</v>
      </c>
      <c r="AI73" s="9">
        <f t="shared" si="43"/>
        <v>115628.13</v>
      </c>
      <c r="AJ73" s="9">
        <f t="shared" si="43"/>
        <v>115628.13</v>
      </c>
      <c r="AK73" s="9">
        <f t="shared" si="43"/>
        <v>115628.13</v>
      </c>
      <c r="AL73" s="9">
        <f t="shared" si="43"/>
        <v>115628.13</v>
      </c>
      <c r="AM73" s="9">
        <f t="shared" si="43"/>
        <v>115628.13</v>
      </c>
      <c r="AN73" s="23">
        <f t="shared" si="43"/>
        <v>115628.13</v>
      </c>
      <c r="AO73" s="55">
        <f>77916.67+37753.13</f>
        <v>115669.79999999999</v>
      </c>
      <c r="AP73" s="10">
        <f>SUM(AD73:AO73)</f>
        <v>1387579.2300000002</v>
      </c>
      <c r="AR73" s="33"/>
    </row>
    <row r="74" spans="1:44" ht="13.5" thickBot="1" x14ac:dyDescent="0.35">
      <c r="C74" s="11" t="s">
        <v>32</v>
      </c>
      <c r="D74" s="12">
        <f t="shared" ref="D74:O74" si="44">SUM(D71:D73)</f>
        <v>116558.12000000001</v>
      </c>
      <c r="E74" s="12">
        <f t="shared" si="44"/>
        <v>116308.12000000001</v>
      </c>
      <c r="F74" s="12">
        <f t="shared" si="44"/>
        <v>116308.12000000001</v>
      </c>
      <c r="G74" s="12">
        <f t="shared" si="44"/>
        <v>116308.12000000001</v>
      </c>
      <c r="H74" s="12">
        <f t="shared" si="44"/>
        <v>116308.12000000001</v>
      </c>
      <c r="I74" s="12">
        <f t="shared" si="44"/>
        <v>116308.12000000001</v>
      </c>
      <c r="J74" s="12">
        <f t="shared" si="44"/>
        <v>116308.12000000001</v>
      </c>
      <c r="K74" s="12">
        <f t="shared" si="44"/>
        <v>116308.12000000001</v>
      </c>
      <c r="L74" s="12">
        <f t="shared" si="44"/>
        <v>116243.54000000001</v>
      </c>
      <c r="M74" s="12">
        <f t="shared" si="44"/>
        <v>116243.54000000001</v>
      </c>
      <c r="N74" s="12">
        <f t="shared" si="44"/>
        <v>116243.54000000001</v>
      </c>
      <c r="O74" s="12">
        <f t="shared" si="44"/>
        <v>116460.20999999999</v>
      </c>
      <c r="P74" s="12">
        <f>SUM(P71:P73)</f>
        <v>1395905.79</v>
      </c>
      <c r="Q74" s="12">
        <f t="shared" ref="Q74:AB74" si="45">SUM(Q71:Q73)</f>
        <v>116710.20999999999</v>
      </c>
      <c r="R74" s="12">
        <f t="shared" si="45"/>
        <v>116460.20999999999</v>
      </c>
      <c r="S74" s="12">
        <f t="shared" si="45"/>
        <v>116460.20999999999</v>
      </c>
      <c r="T74" s="12">
        <f t="shared" si="45"/>
        <v>116460.20999999999</v>
      </c>
      <c r="U74" s="12">
        <f t="shared" si="45"/>
        <v>116460.20999999999</v>
      </c>
      <c r="V74" s="12">
        <f t="shared" si="45"/>
        <v>116460.20999999999</v>
      </c>
      <c r="W74" s="12">
        <f t="shared" si="45"/>
        <v>116460.20999999999</v>
      </c>
      <c r="X74" s="12">
        <f t="shared" si="45"/>
        <v>116460.20999999999</v>
      </c>
      <c r="Y74" s="12">
        <f t="shared" si="45"/>
        <v>116392.70999999999</v>
      </c>
      <c r="Z74" s="12">
        <f t="shared" si="45"/>
        <v>116392.70999999999</v>
      </c>
      <c r="AA74" s="12">
        <f t="shared" si="45"/>
        <v>116392.70999999999</v>
      </c>
      <c r="AB74" s="12">
        <f t="shared" si="45"/>
        <v>116621.88</v>
      </c>
      <c r="AC74" s="12">
        <f>SUM(AC71:AC73)</f>
        <v>1397731.69</v>
      </c>
      <c r="AD74" s="12">
        <f>SUM(AD71:AD73)</f>
        <v>116871.88</v>
      </c>
      <c r="AE74" s="12">
        <f>SUM(AE71:AE73)</f>
        <v>116621.88</v>
      </c>
      <c r="AF74" s="12">
        <f t="shared" ref="AF74:AO74" si="46">SUM(AF71:AF73)</f>
        <v>116621.88</v>
      </c>
      <c r="AG74" s="12">
        <f t="shared" si="46"/>
        <v>116621.88</v>
      </c>
      <c r="AH74" s="12">
        <f t="shared" si="46"/>
        <v>116621.88</v>
      </c>
      <c r="AI74" s="12">
        <f t="shared" si="46"/>
        <v>116621.88</v>
      </c>
      <c r="AJ74" s="12">
        <f t="shared" si="46"/>
        <v>116621.88</v>
      </c>
      <c r="AK74" s="12">
        <f t="shared" si="46"/>
        <v>116621.88</v>
      </c>
      <c r="AL74" s="12">
        <f t="shared" si="46"/>
        <v>116551.46</v>
      </c>
      <c r="AM74" s="12">
        <f t="shared" si="46"/>
        <v>116551.46</v>
      </c>
      <c r="AN74" s="12">
        <f t="shared" si="46"/>
        <v>116551.46</v>
      </c>
      <c r="AO74" s="57">
        <f t="shared" si="46"/>
        <v>116593.12999999999</v>
      </c>
      <c r="AP74" s="12">
        <f>SUM(AP71:AP73)</f>
        <v>1399472.5500000003</v>
      </c>
    </row>
    <row r="75" spans="1:44" x14ac:dyDescent="0.3">
      <c r="C75" s="13"/>
    </row>
    <row r="76" spans="1:44" ht="15.75" customHeight="1" x14ac:dyDescent="0.35">
      <c r="A76" s="18">
        <f>+A70+1</f>
        <v>9</v>
      </c>
      <c r="B76" s="21"/>
      <c r="C76" s="22" t="s">
        <v>33</v>
      </c>
    </row>
    <row r="77" spans="1:44" x14ac:dyDescent="0.3">
      <c r="C77" s="6" t="s">
        <v>7</v>
      </c>
      <c r="D77" s="23">
        <v>367.09</v>
      </c>
      <c r="E77" s="23">
        <v>367.09</v>
      </c>
      <c r="F77" s="23">
        <v>367.09</v>
      </c>
      <c r="G77" s="23">
        <v>367.09</v>
      </c>
      <c r="H77" s="23">
        <v>367.09</v>
      </c>
      <c r="I77" s="23">
        <v>367.09</v>
      </c>
      <c r="J77" s="23">
        <v>367.09</v>
      </c>
      <c r="K77" s="23">
        <v>344.04</v>
      </c>
      <c r="L77" s="23">
        <v>344.04</v>
      </c>
      <c r="M77" s="23">
        <v>344.04</v>
      </c>
      <c r="N77" s="23">
        <v>344.04</v>
      </c>
      <c r="O77" s="23">
        <v>344.04</v>
      </c>
      <c r="P77" s="10">
        <f>SUM(D77:O77)</f>
        <v>4289.83</v>
      </c>
      <c r="Q77" s="23">
        <v>344.04</v>
      </c>
      <c r="R77" s="23">
        <v>344.04</v>
      </c>
      <c r="S77" s="23">
        <v>344.04</v>
      </c>
      <c r="T77" s="23">
        <v>344.03</v>
      </c>
      <c r="U77" s="23">
        <v>344.03</v>
      </c>
      <c r="V77" s="23">
        <v>344.03</v>
      </c>
      <c r="W77" s="23">
        <v>344.03</v>
      </c>
      <c r="X77" s="23">
        <v>320.22000000000003</v>
      </c>
      <c r="Y77" s="23">
        <v>320.22000000000003</v>
      </c>
      <c r="Z77" s="23">
        <v>320.22000000000003</v>
      </c>
      <c r="AA77" s="23">
        <v>320.22000000000003</v>
      </c>
      <c r="AB77" s="23">
        <v>320.22000000000003</v>
      </c>
      <c r="AC77" s="10">
        <f>SUM(Q77:AB77)</f>
        <v>4009.3400000000011</v>
      </c>
      <c r="AD77" s="23">
        <v>320.22000000000003</v>
      </c>
      <c r="AE77" s="23">
        <v>320.22000000000003</v>
      </c>
      <c r="AF77" s="23">
        <v>320.22000000000003</v>
      </c>
      <c r="AG77" s="23">
        <v>320.22000000000003</v>
      </c>
      <c r="AH77" s="23">
        <v>320.22000000000003</v>
      </c>
      <c r="AI77" s="23">
        <v>320.22000000000003</v>
      </c>
      <c r="AJ77" s="23">
        <v>320.20999999999998</v>
      </c>
      <c r="AK77" s="10">
        <v>295.62</v>
      </c>
      <c r="AL77" s="10">
        <v>295.62</v>
      </c>
      <c r="AM77" s="10">
        <v>295.62</v>
      </c>
      <c r="AN77" s="10">
        <v>295.62</v>
      </c>
      <c r="AO77" s="55">
        <v>295.61</v>
      </c>
      <c r="AP77" s="10">
        <f>SUM(AD77:AO77)</f>
        <v>3719.62</v>
      </c>
    </row>
    <row r="78" spans="1:44" x14ac:dyDescent="0.3">
      <c r="C78" s="6" t="s">
        <v>8</v>
      </c>
      <c r="D78" s="9">
        <v>250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0">
        <f>SUM(D78:O78)</f>
        <v>250</v>
      </c>
      <c r="Q78" s="9">
        <v>250</v>
      </c>
      <c r="AC78" s="10">
        <f>SUM(Q78:AB78)</f>
        <v>250</v>
      </c>
      <c r="AD78" s="9">
        <v>250</v>
      </c>
      <c r="AE78" s="9"/>
      <c r="AF78" s="9"/>
      <c r="AG78" s="9"/>
      <c r="AH78" s="9"/>
      <c r="AI78" s="9"/>
      <c r="AJ78" s="9"/>
      <c r="AK78" s="9"/>
      <c r="AL78" s="9"/>
      <c r="AM78" s="9"/>
      <c r="AN78" s="23"/>
      <c r="AO78" s="56"/>
      <c r="AP78" s="10">
        <f>SUM(AD78:AO78)</f>
        <v>250</v>
      </c>
    </row>
    <row r="79" spans="1:44" ht="13.5" thickBot="1" x14ac:dyDescent="0.35">
      <c r="C79" s="6" t="s">
        <v>9</v>
      </c>
      <c r="D79" s="9">
        <f>23054.61+11783.63</f>
        <v>34838.239999999998</v>
      </c>
      <c r="E79" s="9">
        <f>23054.61+11783.64</f>
        <v>34838.25</v>
      </c>
      <c r="F79" s="9">
        <f>23054.61+11783.64</f>
        <v>34838.25</v>
      </c>
      <c r="G79" s="9">
        <f>23054.61+11783.63</f>
        <v>34838.239999999998</v>
      </c>
      <c r="H79" s="9">
        <f>23054.61+11783.63</f>
        <v>34838.239999999998</v>
      </c>
      <c r="I79" s="9">
        <f>23054.6+11783.63</f>
        <v>34838.229999999996</v>
      </c>
      <c r="J79" s="9">
        <f>23054.6+11783.63</f>
        <v>34838.229999999996</v>
      </c>
      <c r="K79" s="9">
        <f>23817.72+11043.58</f>
        <v>34861.300000000003</v>
      </c>
      <c r="L79" s="9">
        <f>23817.72+11043.58</f>
        <v>34861.300000000003</v>
      </c>
      <c r="M79" s="9">
        <f>23817.72+11043.58</f>
        <v>34861.300000000003</v>
      </c>
      <c r="N79" s="9">
        <f>23817.72+11043.58</f>
        <v>34861.300000000003</v>
      </c>
      <c r="O79" s="9">
        <f>23817.72+11043.58</f>
        <v>34861.300000000003</v>
      </c>
      <c r="P79" s="10">
        <f>SUM(D79:O79)</f>
        <v>418174.17999999988</v>
      </c>
      <c r="Q79" s="9">
        <f>23817.72+11043.58</f>
        <v>34861.300000000003</v>
      </c>
      <c r="R79" s="9">
        <f>23817.72+11043.58</f>
        <v>34861.300000000003</v>
      </c>
      <c r="S79" s="9">
        <f>23817.71+11043.58</f>
        <v>34861.29</v>
      </c>
      <c r="T79" s="9">
        <f>23817.71+11043.58</f>
        <v>34861.29</v>
      </c>
      <c r="U79" s="9">
        <f>23817.71+11043.58</f>
        <v>34861.29</v>
      </c>
      <c r="V79" s="9">
        <f>23817.71+11043.58</f>
        <v>34861.29</v>
      </c>
      <c r="W79" s="9">
        <f>23817.71+11043.58</f>
        <v>34861.29</v>
      </c>
      <c r="X79" s="9">
        <f>24606.09+10279.04</f>
        <v>34885.130000000005</v>
      </c>
      <c r="Y79" s="9">
        <f>24606.09+10279.03</f>
        <v>34885.120000000003</v>
      </c>
      <c r="Z79" s="9">
        <f>24606.09+10279.03</f>
        <v>34885.120000000003</v>
      </c>
      <c r="AA79" s="9">
        <f>24606.08+10279.03</f>
        <v>34885.11</v>
      </c>
      <c r="AB79" s="9">
        <f>24606.08+10279.03</f>
        <v>34885.11</v>
      </c>
      <c r="AC79" s="10">
        <f>SUM(Q79:AB79)</f>
        <v>418454.64</v>
      </c>
      <c r="AD79" s="9">
        <f t="shared" ref="AD79:AJ79" si="47">24606.08+10279.03</f>
        <v>34885.11</v>
      </c>
      <c r="AE79" s="9">
        <f>24606.08+10279.04</f>
        <v>34885.120000000003</v>
      </c>
      <c r="AF79" s="9">
        <f t="shared" si="47"/>
        <v>34885.11</v>
      </c>
      <c r="AG79" s="9">
        <f t="shared" si="47"/>
        <v>34885.11</v>
      </c>
      <c r="AH79" s="9">
        <f t="shared" si="47"/>
        <v>34885.11</v>
      </c>
      <c r="AI79" s="9">
        <f t="shared" si="47"/>
        <v>34885.11</v>
      </c>
      <c r="AJ79" s="9">
        <f t="shared" si="47"/>
        <v>34885.11</v>
      </c>
      <c r="AK79" s="10">
        <f>25420.55+9489.18</f>
        <v>34909.729999999996</v>
      </c>
      <c r="AL79" s="10">
        <f>25420.55+9489.18</f>
        <v>34909.729999999996</v>
      </c>
      <c r="AM79" s="10">
        <f>25420.55+9489.18</f>
        <v>34909.729999999996</v>
      </c>
      <c r="AN79" s="10">
        <f>25420.55+9489.18</f>
        <v>34909.729999999996</v>
      </c>
      <c r="AO79" s="55">
        <f>25420.55+9489.17</f>
        <v>34909.72</v>
      </c>
      <c r="AP79" s="10">
        <f>SUM(AD79:AO79)</f>
        <v>418744.41999999993</v>
      </c>
      <c r="AR79" s="33"/>
    </row>
    <row r="80" spans="1:44" ht="13.5" thickBot="1" x14ac:dyDescent="0.35">
      <c r="C80" s="11" t="s">
        <v>34</v>
      </c>
      <c r="D80" s="12">
        <f t="shared" ref="D80:O80" si="48">SUM(D77:D79)</f>
        <v>35455.329999999994</v>
      </c>
      <c r="E80" s="12">
        <f t="shared" si="48"/>
        <v>35205.339999999997</v>
      </c>
      <c r="F80" s="12">
        <f t="shared" si="48"/>
        <v>35205.339999999997</v>
      </c>
      <c r="G80" s="12">
        <f t="shared" si="48"/>
        <v>35205.329999999994</v>
      </c>
      <c r="H80" s="12">
        <f t="shared" si="48"/>
        <v>35205.329999999994</v>
      </c>
      <c r="I80" s="12">
        <f t="shared" si="48"/>
        <v>35205.319999999992</v>
      </c>
      <c r="J80" s="12">
        <f t="shared" si="48"/>
        <v>35205.319999999992</v>
      </c>
      <c r="K80" s="12">
        <f t="shared" si="48"/>
        <v>35205.340000000004</v>
      </c>
      <c r="L80" s="12">
        <f t="shared" si="48"/>
        <v>35205.340000000004</v>
      </c>
      <c r="M80" s="12">
        <f t="shared" si="48"/>
        <v>35205.340000000004</v>
      </c>
      <c r="N80" s="12">
        <f t="shared" si="48"/>
        <v>35205.340000000004</v>
      </c>
      <c r="O80" s="12">
        <f t="shared" si="48"/>
        <v>35205.340000000004</v>
      </c>
      <c r="P80" s="12">
        <f>SUM(P77:P79)</f>
        <v>422714.00999999989</v>
      </c>
      <c r="Q80" s="12">
        <f t="shared" ref="Q80:AB80" si="49">SUM(Q77:Q79)</f>
        <v>35455.340000000004</v>
      </c>
      <c r="R80" s="12">
        <f t="shared" si="49"/>
        <v>35205.340000000004</v>
      </c>
      <c r="S80" s="12">
        <f t="shared" si="49"/>
        <v>35205.33</v>
      </c>
      <c r="T80" s="12">
        <f t="shared" si="49"/>
        <v>35205.32</v>
      </c>
      <c r="U80" s="12">
        <f t="shared" si="49"/>
        <v>35205.32</v>
      </c>
      <c r="V80" s="12">
        <f t="shared" si="49"/>
        <v>35205.32</v>
      </c>
      <c r="W80" s="12">
        <f t="shared" si="49"/>
        <v>35205.32</v>
      </c>
      <c r="X80" s="12">
        <f t="shared" si="49"/>
        <v>35205.350000000006</v>
      </c>
      <c r="Y80" s="12">
        <f t="shared" si="49"/>
        <v>35205.340000000004</v>
      </c>
      <c r="Z80" s="12">
        <f t="shared" si="49"/>
        <v>35205.340000000004</v>
      </c>
      <c r="AA80" s="12">
        <f t="shared" si="49"/>
        <v>35205.33</v>
      </c>
      <c r="AB80" s="12">
        <f t="shared" si="49"/>
        <v>35205.33</v>
      </c>
      <c r="AC80" s="12">
        <f>SUM(AC77:AC79)</f>
        <v>422713.98000000004</v>
      </c>
      <c r="AD80" s="12">
        <f>SUM(AD77:AD79)</f>
        <v>35455.33</v>
      </c>
      <c r="AE80" s="12">
        <f>SUM(AE77:AE79)</f>
        <v>35205.340000000004</v>
      </c>
      <c r="AF80" s="12">
        <f t="shared" ref="AF80:AO80" si="50">SUM(AF77:AF79)</f>
        <v>35205.33</v>
      </c>
      <c r="AG80" s="12">
        <f t="shared" si="50"/>
        <v>35205.33</v>
      </c>
      <c r="AH80" s="12">
        <f t="shared" si="50"/>
        <v>35205.33</v>
      </c>
      <c r="AI80" s="12">
        <f t="shared" si="50"/>
        <v>35205.33</v>
      </c>
      <c r="AJ80" s="12">
        <f t="shared" si="50"/>
        <v>35205.32</v>
      </c>
      <c r="AK80" s="12">
        <f t="shared" si="50"/>
        <v>35205.35</v>
      </c>
      <c r="AL80" s="12">
        <f t="shared" si="50"/>
        <v>35205.35</v>
      </c>
      <c r="AM80" s="12">
        <f t="shared" si="50"/>
        <v>35205.35</v>
      </c>
      <c r="AN80" s="12">
        <f t="shared" si="50"/>
        <v>35205.35</v>
      </c>
      <c r="AO80" s="57">
        <f t="shared" si="50"/>
        <v>35205.33</v>
      </c>
      <c r="AP80" s="12">
        <f>SUM(AP77:AP79)</f>
        <v>422714.03999999992</v>
      </c>
    </row>
    <row r="81" spans="1:44" x14ac:dyDescent="0.3">
      <c r="C81" s="13"/>
    </row>
    <row r="82" spans="1:44" ht="15.75" customHeight="1" x14ac:dyDescent="0.35">
      <c r="A82" s="18">
        <f>+A76+1</f>
        <v>10</v>
      </c>
      <c r="B82" s="21"/>
      <c r="C82" s="22" t="s">
        <v>35</v>
      </c>
    </row>
    <row r="83" spans="1:44" x14ac:dyDescent="0.3">
      <c r="C83" s="6" t="s">
        <v>7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f>SUM(D83:O83)</f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f>SUM(Q83:AB83)</f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55">
        <v>0</v>
      </c>
      <c r="AP83" s="10">
        <f>SUM(AD83:AO83)</f>
        <v>0</v>
      </c>
    </row>
    <row r="84" spans="1:44" x14ac:dyDescent="0.3">
      <c r="C84" s="6" t="s">
        <v>8</v>
      </c>
      <c r="D84" s="9">
        <v>250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0">
        <f>SUM(D84:O84)</f>
        <v>250</v>
      </c>
      <c r="Q84" s="9">
        <v>250</v>
      </c>
      <c r="AC84" s="10">
        <f>SUM(Q84:AB84)</f>
        <v>250</v>
      </c>
      <c r="AD84" s="9">
        <v>250</v>
      </c>
      <c r="AE84" s="9"/>
      <c r="AF84" s="9"/>
      <c r="AG84" s="9"/>
      <c r="AH84" s="9"/>
      <c r="AI84" s="9"/>
      <c r="AJ84" s="9"/>
      <c r="AK84" s="9"/>
      <c r="AL84" s="9"/>
      <c r="AM84" s="9"/>
      <c r="AN84" s="23"/>
      <c r="AO84" s="56"/>
      <c r="AP84" s="10">
        <f>SUM(AD84:AO84)</f>
        <v>250</v>
      </c>
    </row>
    <row r="85" spans="1:44" ht="13.5" thickBot="1" x14ac:dyDescent="0.35">
      <c r="C85" s="6" t="s">
        <v>9</v>
      </c>
      <c r="D85" s="9">
        <v>103134.79</v>
      </c>
      <c r="E85" s="9">
        <v>103134.79</v>
      </c>
      <c r="F85" s="9">
        <v>103134.79</v>
      </c>
      <c r="G85" s="9">
        <v>103134.79</v>
      </c>
      <c r="H85" s="9">
        <v>103134.79</v>
      </c>
      <c r="I85" s="9">
        <v>103134.79</v>
      </c>
      <c r="J85" s="9">
        <v>103134.79</v>
      </c>
      <c r="K85" s="9">
        <v>103134.79</v>
      </c>
      <c r="L85" s="9">
        <v>103134.79</v>
      </c>
      <c r="M85" s="9">
        <v>103134.79</v>
      </c>
      <c r="N85" s="9">
        <v>103134.79</v>
      </c>
      <c r="O85" s="9">
        <v>103134.79</v>
      </c>
      <c r="P85" s="10">
        <f>SUM(D85:O85)</f>
        <v>1237617.4800000002</v>
      </c>
      <c r="Q85" s="9">
        <f>7083.33+96001.46</f>
        <v>103084.79000000001</v>
      </c>
      <c r="R85" s="9">
        <f t="shared" ref="R85:AB85" si="51">7083.33+96001.46</f>
        <v>103084.79000000001</v>
      </c>
      <c r="S85" s="9">
        <f t="shared" si="51"/>
        <v>103084.79000000001</v>
      </c>
      <c r="T85" s="9">
        <f t="shared" si="51"/>
        <v>103084.79000000001</v>
      </c>
      <c r="U85" s="9">
        <f t="shared" si="51"/>
        <v>103084.79000000001</v>
      </c>
      <c r="V85" s="9">
        <f t="shared" si="51"/>
        <v>103084.79000000001</v>
      </c>
      <c r="W85" s="9">
        <f t="shared" si="51"/>
        <v>103084.79000000001</v>
      </c>
      <c r="X85" s="9">
        <f t="shared" si="51"/>
        <v>103084.79000000001</v>
      </c>
      <c r="Y85" s="9">
        <f t="shared" si="51"/>
        <v>103084.79000000001</v>
      </c>
      <c r="Z85" s="9">
        <f t="shared" si="51"/>
        <v>103084.79000000001</v>
      </c>
      <c r="AA85" s="9">
        <f t="shared" si="51"/>
        <v>103084.79000000001</v>
      </c>
      <c r="AB85" s="9">
        <f t="shared" si="51"/>
        <v>103084.79000000001</v>
      </c>
      <c r="AC85" s="10">
        <f>SUM(Q85:AB85)</f>
        <v>1237017.4800000002</v>
      </c>
      <c r="AD85" s="10">
        <f>7916.67+95505.63</f>
        <v>103422.3</v>
      </c>
      <c r="AE85" s="10">
        <f t="shared" ref="AE85:AO85" si="52">7916.67+95505.63</f>
        <v>103422.3</v>
      </c>
      <c r="AF85" s="10">
        <f t="shared" si="52"/>
        <v>103422.3</v>
      </c>
      <c r="AG85" s="10">
        <f t="shared" si="52"/>
        <v>103422.3</v>
      </c>
      <c r="AH85" s="10">
        <f t="shared" si="52"/>
        <v>103422.3</v>
      </c>
      <c r="AI85" s="10">
        <f t="shared" si="52"/>
        <v>103422.3</v>
      </c>
      <c r="AJ85" s="10">
        <f t="shared" si="52"/>
        <v>103422.3</v>
      </c>
      <c r="AK85" s="10">
        <f t="shared" si="52"/>
        <v>103422.3</v>
      </c>
      <c r="AL85" s="10">
        <f t="shared" si="52"/>
        <v>103422.3</v>
      </c>
      <c r="AM85" s="10">
        <f t="shared" si="52"/>
        <v>103422.3</v>
      </c>
      <c r="AN85" s="10">
        <f t="shared" si="52"/>
        <v>103422.3</v>
      </c>
      <c r="AO85" s="55">
        <f t="shared" si="52"/>
        <v>103422.3</v>
      </c>
      <c r="AP85" s="10">
        <f>SUM(AD85:AO85)</f>
        <v>1241067.6000000003</v>
      </c>
      <c r="AR85" s="33"/>
    </row>
    <row r="86" spans="1:44" ht="13.5" thickBot="1" x14ac:dyDescent="0.35">
      <c r="C86" s="11" t="s">
        <v>16</v>
      </c>
      <c r="D86" s="12">
        <f t="shared" ref="D86:O86" si="53">SUM(D83:D85)</f>
        <v>103384.79</v>
      </c>
      <c r="E86" s="12">
        <f t="shared" si="53"/>
        <v>103134.79</v>
      </c>
      <c r="F86" s="12">
        <f t="shared" si="53"/>
        <v>103134.79</v>
      </c>
      <c r="G86" s="12">
        <f t="shared" si="53"/>
        <v>103134.79</v>
      </c>
      <c r="H86" s="12">
        <f t="shared" si="53"/>
        <v>103134.79</v>
      </c>
      <c r="I86" s="12">
        <f t="shared" si="53"/>
        <v>103134.79</v>
      </c>
      <c r="J86" s="12">
        <f t="shared" si="53"/>
        <v>103134.79</v>
      </c>
      <c r="K86" s="12">
        <f t="shared" si="53"/>
        <v>103134.79</v>
      </c>
      <c r="L86" s="12">
        <f t="shared" si="53"/>
        <v>103134.79</v>
      </c>
      <c r="M86" s="12">
        <f t="shared" si="53"/>
        <v>103134.79</v>
      </c>
      <c r="N86" s="12">
        <f t="shared" si="53"/>
        <v>103134.79</v>
      </c>
      <c r="O86" s="12">
        <f t="shared" si="53"/>
        <v>103134.79</v>
      </c>
      <c r="P86" s="12">
        <f>SUM(P83:P85)</f>
        <v>1237867.4800000002</v>
      </c>
      <c r="Q86" s="12">
        <f t="shared" ref="Q86:AB86" si="54">SUM(Q83:Q85)</f>
        <v>103334.79000000001</v>
      </c>
      <c r="R86" s="12">
        <f t="shared" si="54"/>
        <v>103084.79000000001</v>
      </c>
      <c r="S86" s="12">
        <f t="shared" si="54"/>
        <v>103084.79000000001</v>
      </c>
      <c r="T86" s="12">
        <f t="shared" si="54"/>
        <v>103084.79000000001</v>
      </c>
      <c r="U86" s="12">
        <f t="shared" si="54"/>
        <v>103084.79000000001</v>
      </c>
      <c r="V86" s="12">
        <f t="shared" si="54"/>
        <v>103084.79000000001</v>
      </c>
      <c r="W86" s="12">
        <f t="shared" si="54"/>
        <v>103084.79000000001</v>
      </c>
      <c r="X86" s="12">
        <f t="shared" si="54"/>
        <v>103084.79000000001</v>
      </c>
      <c r="Y86" s="12">
        <f t="shared" si="54"/>
        <v>103084.79000000001</v>
      </c>
      <c r="Z86" s="12">
        <f t="shared" si="54"/>
        <v>103084.79000000001</v>
      </c>
      <c r="AA86" s="12">
        <f t="shared" si="54"/>
        <v>103084.79000000001</v>
      </c>
      <c r="AB86" s="12">
        <f t="shared" si="54"/>
        <v>103084.79000000001</v>
      </c>
      <c r="AC86" s="12">
        <f>SUM(AC83:AC85)</f>
        <v>1237267.4800000002</v>
      </c>
      <c r="AD86" s="12">
        <f>SUM(AD83:AD85)</f>
        <v>103672.3</v>
      </c>
      <c r="AE86" s="12">
        <f>SUM(AE83:AE85)</f>
        <v>103422.3</v>
      </c>
      <c r="AF86" s="12">
        <f t="shared" ref="AF86:AO86" si="55">SUM(AF83:AF85)</f>
        <v>103422.3</v>
      </c>
      <c r="AG86" s="12">
        <f t="shared" si="55"/>
        <v>103422.3</v>
      </c>
      <c r="AH86" s="12">
        <f t="shared" si="55"/>
        <v>103422.3</v>
      </c>
      <c r="AI86" s="12">
        <f t="shared" si="55"/>
        <v>103422.3</v>
      </c>
      <c r="AJ86" s="12">
        <f t="shared" si="55"/>
        <v>103422.3</v>
      </c>
      <c r="AK86" s="12">
        <f t="shared" si="55"/>
        <v>103422.3</v>
      </c>
      <c r="AL86" s="12">
        <f t="shared" si="55"/>
        <v>103422.3</v>
      </c>
      <c r="AM86" s="12">
        <f t="shared" si="55"/>
        <v>103422.3</v>
      </c>
      <c r="AN86" s="12">
        <f t="shared" si="55"/>
        <v>103422.3</v>
      </c>
      <c r="AO86" s="57">
        <f t="shared" si="55"/>
        <v>103422.3</v>
      </c>
      <c r="AP86" s="12">
        <f>SUM(AP83:AP85)</f>
        <v>1241317.6000000003</v>
      </c>
    </row>
    <row r="87" spans="1:44" x14ac:dyDescent="0.3">
      <c r="C87" s="13"/>
    </row>
    <row r="88" spans="1:44" ht="15.5" x14ac:dyDescent="0.35">
      <c r="A88" s="18">
        <f>+A82+1</f>
        <v>11</v>
      </c>
      <c r="B88" s="21"/>
      <c r="C88" s="22" t="s">
        <v>36</v>
      </c>
    </row>
    <row r="89" spans="1:44" x14ac:dyDescent="0.3">
      <c r="C89" s="6" t="s">
        <v>7</v>
      </c>
      <c r="D89" s="9">
        <v>1093.33</v>
      </c>
      <c r="E89" s="9">
        <v>1093.33</v>
      </c>
      <c r="F89" s="9">
        <v>1093.33</v>
      </c>
      <c r="G89" s="9">
        <v>1093.33</v>
      </c>
      <c r="H89" s="9">
        <v>1093.33</v>
      </c>
      <c r="I89" s="9">
        <v>1093.33</v>
      </c>
      <c r="J89" s="9">
        <v>1093.33</v>
      </c>
      <c r="K89" s="9">
        <v>1093.33</v>
      </c>
      <c r="L89" s="9">
        <v>1065.42</v>
      </c>
      <c r="M89" s="9">
        <v>1065.42</v>
      </c>
      <c r="N89" s="9">
        <v>1065.42</v>
      </c>
      <c r="O89" s="9">
        <v>1065.42</v>
      </c>
      <c r="P89" s="10">
        <f>SUM(D89:O89)</f>
        <v>13008.32</v>
      </c>
      <c r="Q89" s="9">
        <v>1065.42</v>
      </c>
      <c r="R89" s="9">
        <v>1065.42</v>
      </c>
      <c r="S89" s="9">
        <v>1065.42</v>
      </c>
      <c r="T89" s="9">
        <v>1065.42</v>
      </c>
      <c r="U89" s="9">
        <v>1065.42</v>
      </c>
      <c r="V89" s="9">
        <v>1065.42</v>
      </c>
      <c r="W89" s="9">
        <v>1065.42</v>
      </c>
      <c r="X89" s="9">
        <v>1065.42</v>
      </c>
      <c r="Y89" s="9">
        <v>1036.67</v>
      </c>
      <c r="Z89" s="9">
        <v>1036.67</v>
      </c>
      <c r="AA89" s="9">
        <v>1036.67</v>
      </c>
      <c r="AB89" s="9">
        <v>1036.67</v>
      </c>
      <c r="AC89" s="10">
        <f>SUM(Q89:AB89)</f>
        <v>12670.04</v>
      </c>
      <c r="AD89" s="9">
        <v>1036.67</v>
      </c>
      <c r="AE89" s="9">
        <v>1036.67</v>
      </c>
      <c r="AF89" s="9">
        <v>1036.67</v>
      </c>
      <c r="AG89" s="9">
        <v>1036.67</v>
      </c>
      <c r="AH89" s="9">
        <v>1036.67</v>
      </c>
      <c r="AI89" s="9">
        <v>1036.67</v>
      </c>
      <c r="AJ89" s="9">
        <v>1036.67</v>
      </c>
      <c r="AK89" s="9">
        <v>1036.67</v>
      </c>
      <c r="AL89" s="10">
        <v>0</v>
      </c>
      <c r="AM89" s="10">
        <v>1006.67</v>
      </c>
      <c r="AN89" s="10">
        <v>1006.67</v>
      </c>
      <c r="AO89" s="55">
        <v>1006.67</v>
      </c>
      <c r="AP89" s="10">
        <f>SUM(AD89:AO89)</f>
        <v>11313.37</v>
      </c>
    </row>
    <row r="90" spans="1:44" x14ac:dyDescent="0.3">
      <c r="C90" s="6" t="s">
        <v>8</v>
      </c>
      <c r="D90" s="9">
        <v>250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>
        <f>SUM(D90:O90)</f>
        <v>250</v>
      </c>
      <c r="Q90" s="9">
        <v>250</v>
      </c>
      <c r="AC90" s="10">
        <f>SUM(Q90:AB90)</f>
        <v>250</v>
      </c>
      <c r="AD90" s="9">
        <v>250</v>
      </c>
      <c r="AE90" s="9"/>
      <c r="AF90" s="9"/>
      <c r="AG90" s="9"/>
      <c r="AH90" s="9"/>
      <c r="AI90" s="9"/>
      <c r="AJ90" s="9"/>
      <c r="AK90" s="9"/>
      <c r="AL90" s="9"/>
      <c r="AM90" s="9"/>
      <c r="AN90" s="23"/>
      <c r="AO90" s="56"/>
      <c r="AP90" s="10">
        <f>SUM(AD90:AO90)</f>
        <v>250</v>
      </c>
    </row>
    <row r="91" spans="1:44" ht="13.5" thickBot="1" x14ac:dyDescent="0.35">
      <c r="C91" s="6" t="s">
        <v>9</v>
      </c>
      <c r="D91" s="9">
        <f>30416.67+58952.61</f>
        <v>89369.279999999999</v>
      </c>
      <c r="E91" s="9">
        <f>30416.67+58952.61</f>
        <v>89369.279999999999</v>
      </c>
      <c r="F91" s="9">
        <f>30416.67+58952.61</f>
        <v>89369.279999999999</v>
      </c>
      <c r="G91" s="9">
        <f>30416.67+58952.61</f>
        <v>89369.279999999999</v>
      </c>
      <c r="H91" s="9">
        <f>30416.67+58952.61</f>
        <v>89369.279999999999</v>
      </c>
      <c r="I91" s="9">
        <f>30416.63+58952.58</f>
        <v>89369.21</v>
      </c>
      <c r="J91" s="9">
        <f>31666.67+57939.58</f>
        <v>89606.25</v>
      </c>
      <c r="K91" s="9">
        <f>31666.67+57939.58</f>
        <v>89606.25</v>
      </c>
      <c r="L91" s="9">
        <f>31666.67+57939.58</f>
        <v>89606.25</v>
      </c>
      <c r="M91" s="9">
        <f>31666.67+57939.58</f>
        <v>89606.25</v>
      </c>
      <c r="N91" s="9">
        <f>31666.67+57939.58</f>
        <v>89606.25</v>
      </c>
      <c r="O91" s="9">
        <f>31666.67+57939.6</f>
        <v>89606.26999999999</v>
      </c>
      <c r="P91" s="10">
        <f>SUM(D91:O91)</f>
        <v>1073853.1299999999</v>
      </c>
      <c r="Q91" s="9">
        <f>31666.67+57939.58</f>
        <v>89606.25</v>
      </c>
      <c r="R91" s="9">
        <f>31666.67+57939.58</f>
        <v>89606.25</v>
      </c>
      <c r="S91" s="9">
        <f>31666.67+57939.58</f>
        <v>89606.25</v>
      </c>
      <c r="T91" s="9">
        <f>31666.67+57939.58</f>
        <v>89606.25</v>
      </c>
      <c r="U91" s="9">
        <f>31666.67+57939.58</f>
        <v>89606.25</v>
      </c>
      <c r="V91" s="9">
        <f>31666.63+57939.6</f>
        <v>89606.23</v>
      </c>
      <c r="W91" s="9">
        <f>32916.67+56841.15</f>
        <v>89757.82</v>
      </c>
      <c r="X91" s="9">
        <f>32916.67+56841.15</f>
        <v>89757.82</v>
      </c>
      <c r="Y91" s="9">
        <f>32916.67+56841.15</f>
        <v>89757.82</v>
      </c>
      <c r="Z91" s="9">
        <f>32916.67+56841.15</f>
        <v>89757.82</v>
      </c>
      <c r="AA91" s="9">
        <f>32916.67+56841.15</f>
        <v>89757.82</v>
      </c>
      <c r="AB91" s="9">
        <f>32916.67+56841.13</f>
        <v>89757.799999999988</v>
      </c>
      <c r="AC91" s="10">
        <f>SUM(Q91:AB91)</f>
        <v>1076184.3800000004</v>
      </c>
      <c r="AD91" s="9">
        <f>32916.67+56841.15</f>
        <v>89757.82</v>
      </c>
      <c r="AE91" s="9">
        <f>32916.67+56841.15</f>
        <v>89757.82</v>
      </c>
      <c r="AF91" s="9">
        <f>32916.67+56841.15</f>
        <v>89757.82</v>
      </c>
      <c r="AG91" s="9">
        <f>32916.67+56841.15</f>
        <v>89757.82</v>
      </c>
      <c r="AH91" s="9">
        <f>32916.67+56841.15</f>
        <v>89757.82</v>
      </c>
      <c r="AI91" s="9">
        <f>32916.63+56841.13</f>
        <v>89757.759999999995</v>
      </c>
      <c r="AJ91" s="10">
        <f>34166.67+55627.08</f>
        <v>89793.75</v>
      </c>
      <c r="AK91" s="10">
        <f>34166.67+55627.08</f>
        <v>89793.75</v>
      </c>
      <c r="AL91" s="10">
        <f>34166.67+55627.08</f>
        <v>89793.75</v>
      </c>
      <c r="AM91" s="10">
        <f>34166.67+55627.08</f>
        <v>89793.75</v>
      </c>
      <c r="AN91" s="10">
        <f>34166.67+55627.08</f>
        <v>89793.75</v>
      </c>
      <c r="AO91" s="55">
        <f>34166.67+55627.1</f>
        <v>89793.76999999999</v>
      </c>
      <c r="AP91" s="10">
        <f>SUM(AD91:AO91)</f>
        <v>1077309.3799999999</v>
      </c>
      <c r="AR91" s="33"/>
    </row>
    <row r="92" spans="1:44" ht="13.5" thickBot="1" x14ac:dyDescent="0.35">
      <c r="C92" s="11" t="s">
        <v>37</v>
      </c>
      <c r="D92" s="12">
        <f t="shared" ref="D92:O92" si="56">SUM(D89:D91)</f>
        <v>90712.61</v>
      </c>
      <c r="E92" s="12">
        <f t="shared" si="56"/>
        <v>90462.61</v>
      </c>
      <c r="F92" s="12">
        <f t="shared" si="56"/>
        <v>90462.61</v>
      </c>
      <c r="G92" s="12">
        <f t="shared" si="56"/>
        <v>90462.61</v>
      </c>
      <c r="H92" s="12">
        <f t="shared" si="56"/>
        <v>90462.61</v>
      </c>
      <c r="I92" s="12">
        <f t="shared" si="56"/>
        <v>90462.540000000008</v>
      </c>
      <c r="J92" s="12">
        <f t="shared" si="56"/>
        <v>90699.58</v>
      </c>
      <c r="K92" s="12">
        <f t="shared" si="56"/>
        <v>90699.58</v>
      </c>
      <c r="L92" s="12">
        <f t="shared" si="56"/>
        <v>90671.67</v>
      </c>
      <c r="M92" s="12">
        <f t="shared" si="56"/>
        <v>90671.67</v>
      </c>
      <c r="N92" s="12">
        <f t="shared" si="56"/>
        <v>90671.67</v>
      </c>
      <c r="O92" s="12">
        <f t="shared" si="56"/>
        <v>90671.689999999988</v>
      </c>
      <c r="P92" s="12">
        <f>SUM(P89:P91)</f>
        <v>1087111.45</v>
      </c>
      <c r="Q92" s="12">
        <f t="shared" ref="Q92:AB92" si="57">SUM(Q89:Q91)</f>
        <v>90921.67</v>
      </c>
      <c r="R92" s="12">
        <f t="shared" si="57"/>
        <v>90671.67</v>
      </c>
      <c r="S92" s="12">
        <f t="shared" si="57"/>
        <v>90671.67</v>
      </c>
      <c r="T92" s="12">
        <f t="shared" si="57"/>
        <v>90671.67</v>
      </c>
      <c r="U92" s="12">
        <f t="shared" si="57"/>
        <v>90671.67</v>
      </c>
      <c r="V92" s="12">
        <f t="shared" si="57"/>
        <v>90671.65</v>
      </c>
      <c r="W92" s="12">
        <f t="shared" si="57"/>
        <v>90823.24</v>
      </c>
      <c r="X92" s="12">
        <f t="shared" si="57"/>
        <v>90823.24</v>
      </c>
      <c r="Y92" s="12">
        <f t="shared" si="57"/>
        <v>90794.49</v>
      </c>
      <c r="Z92" s="12">
        <f t="shared" si="57"/>
        <v>90794.49</v>
      </c>
      <c r="AA92" s="12">
        <f t="shared" si="57"/>
        <v>90794.49</v>
      </c>
      <c r="AB92" s="12">
        <f t="shared" si="57"/>
        <v>90794.469999999987</v>
      </c>
      <c r="AC92" s="12">
        <f>SUM(AC89:AC91)</f>
        <v>1089104.4200000004</v>
      </c>
      <c r="AD92" s="12">
        <f>SUM(AD89:AD91)</f>
        <v>91044.49</v>
      </c>
      <c r="AE92" s="12">
        <f>SUM(AE89:AE91)</f>
        <v>90794.49</v>
      </c>
      <c r="AF92" s="12">
        <f t="shared" ref="AF92:AO92" si="58">SUM(AF89:AF91)</f>
        <v>90794.49</v>
      </c>
      <c r="AG92" s="12">
        <f t="shared" si="58"/>
        <v>90794.49</v>
      </c>
      <c r="AH92" s="12">
        <f t="shared" si="58"/>
        <v>90794.49</v>
      </c>
      <c r="AI92" s="12">
        <f t="shared" si="58"/>
        <v>90794.43</v>
      </c>
      <c r="AJ92" s="12">
        <f t="shared" si="58"/>
        <v>90830.42</v>
      </c>
      <c r="AK92" s="12">
        <f t="shared" si="58"/>
        <v>90830.42</v>
      </c>
      <c r="AL92" s="12">
        <f t="shared" si="58"/>
        <v>89793.75</v>
      </c>
      <c r="AM92" s="12">
        <f t="shared" si="58"/>
        <v>90800.42</v>
      </c>
      <c r="AN92" s="12">
        <f t="shared" si="58"/>
        <v>90800.42</v>
      </c>
      <c r="AO92" s="57">
        <f t="shared" si="58"/>
        <v>90800.439999999988</v>
      </c>
      <c r="AP92" s="12">
        <f>SUM(AP89:AP91)</f>
        <v>1088872.75</v>
      </c>
    </row>
    <row r="93" spans="1:44" x14ac:dyDescent="0.3">
      <c r="C93" s="13"/>
    </row>
    <row r="94" spans="1:44" ht="15.5" x14ac:dyDescent="0.35">
      <c r="A94" s="18">
        <f>+A88+1</f>
        <v>12</v>
      </c>
      <c r="B94" s="21"/>
      <c r="C94" s="22" t="s">
        <v>38</v>
      </c>
    </row>
    <row r="95" spans="1:44" x14ac:dyDescent="0.3">
      <c r="C95" s="6" t="str">
        <f>C89</f>
        <v>Debt Reserve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f>SUM(D95:O95)</f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f>SUM(Q95:AB95)</f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55">
        <v>0</v>
      </c>
      <c r="AP95" s="10">
        <f>SUM(AD95:AO95)</f>
        <v>0</v>
      </c>
    </row>
    <row r="96" spans="1:44" x14ac:dyDescent="0.3">
      <c r="C96" s="6" t="str">
        <f>C90</f>
        <v>Treasury Fee</v>
      </c>
      <c r="D96" s="9">
        <v>250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>
        <f>SUM(D96:O96)</f>
        <v>250</v>
      </c>
      <c r="Q96" s="9">
        <v>250</v>
      </c>
      <c r="AC96" s="10">
        <f>SUM(Q96:AB96)</f>
        <v>250</v>
      </c>
      <c r="AD96" s="9">
        <v>250</v>
      </c>
      <c r="AE96" s="9"/>
      <c r="AF96" s="9"/>
      <c r="AG96" s="9"/>
      <c r="AH96" s="9"/>
      <c r="AI96" s="9"/>
      <c r="AJ96" s="9"/>
      <c r="AK96" s="9"/>
      <c r="AL96" s="9"/>
      <c r="AM96" s="9"/>
      <c r="AN96" s="23"/>
      <c r="AO96" s="56"/>
      <c r="AP96" s="10">
        <f>SUM(AD96:AO96)</f>
        <v>250</v>
      </c>
    </row>
    <row r="97" spans="1:44" ht="13.5" thickBot="1" x14ac:dyDescent="0.35">
      <c r="C97" s="6" t="str">
        <f>C91</f>
        <v>Intercept</v>
      </c>
      <c r="D97" s="9">
        <f>22144.1+17180.41</f>
        <v>39324.509999999995</v>
      </c>
      <c r="E97" s="9">
        <f>22587.01+16737.52</f>
        <v>39324.53</v>
      </c>
      <c r="F97" s="9">
        <f>22587.01+16737.52</f>
        <v>39324.53</v>
      </c>
      <c r="G97" s="9">
        <f>22587.01+16737.52</f>
        <v>39324.53</v>
      </c>
      <c r="H97" s="9">
        <f>22587.01+16737.52</f>
        <v>39324.53</v>
      </c>
      <c r="I97" s="9">
        <f>22587.01+16737.52</f>
        <v>39324.53</v>
      </c>
      <c r="J97" s="9">
        <f>22586.99+16737.51</f>
        <v>39324.5</v>
      </c>
      <c r="K97" s="9">
        <f>23038.75+16285.78</f>
        <v>39324.53</v>
      </c>
      <c r="L97" s="9">
        <f>23038.75+16285.78</f>
        <v>39324.53</v>
      </c>
      <c r="M97" s="9">
        <f>23038.75+16285.78</f>
        <v>39324.53</v>
      </c>
      <c r="N97" s="9">
        <f>23038.75+16285.78</f>
        <v>39324.53</v>
      </c>
      <c r="O97" s="9">
        <f>23038.75+16285.78</f>
        <v>39324.53</v>
      </c>
      <c r="P97" s="10">
        <f>SUM(D97:O97)</f>
        <v>471894.31000000006</v>
      </c>
      <c r="Q97" s="9">
        <v>39324.5</v>
      </c>
      <c r="R97" s="9">
        <v>39324.519999999997</v>
      </c>
      <c r="S97" s="9">
        <v>39324.519999999997</v>
      </c>
      <c r="T97" s="9">
        <v>39324.519999999997</v>
      </c>
      <c r="U97" s="9">
        <v>39324.519999999997</v>
      </c>
      <c r="V97" s="9">
        <v>39324.519999999997</v>
      </c>
      <c r="W97" s="9">
        <v>39324.550000000003</v>
      </c>
      <c r="X97" s="9">
        <v>39324.519999999997</v>
      </c>
      <c r="Y97" s="9">
        <v>39324.519999999997</v>
      </c>
      <c r="Z97" s="9">
        <v>39324.519999999997</v>
      </c>
      <c r="AA97" s="9">
        <v>39324.519999999997</v>
      </c>
      <c r="AB97" s="9">
        <f>23969.51+15355.01</f>
        <v>39324.519999999997</v>
      </c>
      <c r="AC97" s="10">
        <f>SUM(Q97:AB97)</f>
        <v>471894.25000000006</v>
      </c>
      <c r="AD97" s="10">
        <v>39324.559999999998</v>
      </c>
      <c r="AE97" s="10">
        <v>39324.519999999997</v>
      </c>
      <c r="AF97" s="10">
        <v>39324.519999999997</v>
      </c>
      <c r="AG97" s="10">
        <v>39324.519999999997</v>
      </c>
      <c r="AH97" s="10">
        <v>39324.519999999997</v>
      </c>
      <c r="AI97" s="10">
        <v>39324.519999999997</v>
      </c>
      <c r="AJ97" s="10">
        <v>39324.54</v>
      </c>
      <c r="AK97" s="10">
        <v>39324.53</v>
      </c>
      <c r="AL97" s="10">
        <v>39324.53</v>
      </c>
      <c r="AM97" s="10">
        <v>39324.53</v>
      </c>
      <c r="AN97" s="10">
        <v>39324.53</v>
      </c>
      <c r="AO97" s="55">
        <v>39324.53</v>
      </c>
      <c r="AP97" s="10">
        <f>SUM(AD97:AO97)</f>
        <v>471894.35000000009</v>
      </c>
      <c r="AR97" s="33"/>
    </row>
    <row r="98" spans="1:44" ht="13.5" thickBot="1" x14ac:dyDescent="0.35">
      <c r="C98" s="11" t="s">
        <v>39</v>
      </c>
      <c r="D98" s="12">
        <f t="shared" ref="D98:O98" si="59">SUM(D95:D97)</f>
        <v>39574.509999999995</v>
      </c>
      <c r="E98" s="12">
        <f t="shared" si="59"/>
        <v>39324.53</v>
      </c>
      <c r="F98" s="12">
        <f t="shared" si="59"/>
        <v>39324.53</v>
      </c>
      <c r="G98" s="12">
        <f t="shared" si="59"/>
        <v>39324.53</v>
      </c>
      <c r="H98" s="12">
        <f t="shared" si="59"/>
        <v>39324.53</v>
      </c>
      <c r="I98" s="12">
        <f t="shared" si="59"/>
        <v>39324.53</v>
      </c>
      <c r="J98" s="12">
        <f t="shared" si="59"/>
        <v>39324.5</v>
      </c>
      <c r="K98" s="12">
        <f t="shared" si="59"/>
        <v>39324.53</v>
      </c>
      <c r="L98" s="12">
        <f t="shared" si="59"/>
        <v>39324.53</v>
      </c>
      <c r="M98" s="12">
        <f t="shared" si="59"/>
        <v>39324.53</v>
      </c>
      <c r="N98" s="12">
        <f t="shared" si="59"/>
        <v>39324.53</v>
      </c>
      <c r="O98" s="12">
        <f t="shared" si="59"/>
        <v>39324.53</v>
      </c>
      <c r="P98" s="12">
        <f>SUM(P95:P97)</f>
        <v>472144.31000000006</v>
      </c>
      <c r="Q98" s="12">
        <f t="shared" ref="Q98:AB98" si="60">SUM(Q95:Q97)</f>
        <v>39574.5</v>
      </c>
      <c r="R98" s="12">
        <f t="shared" si="60"/>
        <v>39324.519999999997</v>
      </c>
      <c r="S98" s="12">
        <f t="shared" si="60"/>
        <v>39324.519999999997</v>
      </c>
      <c r="T98" s="12">
        <f t="shared" si="60"/>
        <v>39324.519999999997</v>
      </c>
      <c r="U98" s="12">
        <f t="shared" si="60"/>
        <v>39324.519999999997</v>
      </c>
      <c r="V98" s="12">
        <f t="shared" si="60"/>
        <v>39324.519999999997</v>
      </c>
      <c r="W98" s="12">
        <f t="shared" si="60"/>
        <v>39324.550000000003</v>
      </c>
      <c r="X98" s="12">
        <f t="shared" si="60"/>
        <v>39324.519999999997</v>
      </c>
      <c r="Y98" s="12">
        <f t="shared" si="60"/>
        <v>39324.519999999997</v>
      </c>
      <c r="Z98" s="12">
        <f t="shared" si="60"/>
        <v>39324.519999999997</v>
      </c>
      <c r="AA98" s="12">
        <f t="shared" si="60"/>
        <v>39324.519999999997</v>
      </c>
      <c r="AB98" s="12">
        <f t="shared" si="60"/>
        <v>39324.519999999997</v>
      </c>
      <c r="AC98" s="12">
        <f>SUM(AC95:AC97)</f>
        <v>472144.25000000006</v>
      </c>
      <c r="AD98" s="12">
        <f>SUM(AD95:AD97)</f>
        <v>39574.559999999998</v>
      </c>
      <c r="AE98" s="12">
        <f>SUM(AE95:AE97)</f>
        <v>39324.519999999997</v>
      </c>
      <c r="AF98" s="12">
        <f t="shared" ref="AF98:AO98" si="61">SUM(AF95:AF97)</f>
        <v>39324.519999999997</v>
      </c>
      <c r="AG98" s="12">
        <f t="shared" si="61"/>
        <v>39324.519999999997</v>
      </c>
      <c r="AH98" s="12">
        <f t="shared" si="61"/>
        <v>39324.519999999997</v>
      </c>
      <c r="AI98" s="12">
        <f t="shared" si="61"/>
        <v>39324.519999999997</v>
      </c>
      <c r="AJ98" s="12">
        <f t="shared" si="61"/>
        <v>39324.54</v>
      </c>
      <c r="AK98" s="12">
        <f t="shared" si="61"/>
        <v>39324.53</v>
      </c>
      <c r="AL98" s="12">
        <f t="shared" si="61"/>
        <v>39324.53</v>
      </c>
      <c r="AM98" s="12">
        <f t="shared" si="61"/>
        <v>39324.53</v>
      </c>
      <c r="AN98" s="12">
        <f t="shared" si="61"/>
        <v>39324.53</v>
      </c>
      <c r="AO98" s="57">
        <f t="shared" si="61"/>
        <v>39324.53</v>
      </c>
      <c r="AP98" s="12">
        <f>SUM(AP95:AP97)</f>
        <v>472144.35000000009</v>
      </c>
    </row>
    <row r="99" spans="1:44" x14ac:dyDescent="0.3">
      <c r="C99" s="13"/>
    </row>
    <row r="100" spans="1:44" ht="15.5" x14ac:dyDescent="0.35">
      <c r="A100" s="18">
        <f>+A94+1</f>
        <v>13</v>
      </c>
      <c r="B100" s="21"/>
      <c r="C100" s="22" t="s">
        <v>40</v>
      </c>
    </row>
    <row r="101" spans="1:44" x14ac:dyDescent="0.3">
      <c r="C101" s="6" t="str">
        <f>C95</f>
        <v>Debt Reserve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>SUM(D101:O101)</f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f>SUM(Q101:AB101)</f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55">
        <v>0</v>
      </c>
      <c r="AP101" s="10">
        <f>SUM(AD101:AO101)</f>
        <v>0</v>
      </c>
    </row>
    <row r="102" spans="1:44" x14ac:dyDescent="0.3">
      <c r="C102" s="6" t="str">
        <f>C96</f>
        <v>Treasury Fee</v>
      </c>
      <c r="D102" s="9">
        <v>250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0">
        <f>SUM(D102:O102)</f>
        <v>250</v>
      </c>
      <c r="Q102" s="9">
        <v>250</v>
      </c>
      <c r="AC102" s="10">
        <f>SUM(Q102:AB102)</f>
        <v>250</v>
      </c>
      <c r="AD102" s="9">
        <v>250</v>
      </c>
      <c r="AE102" s="9"/>
      <c r="AF102" s="9"/>
      <c r="AG102" s="9"/>
      <c r="AH102" s="9"/>
      <c r="AI102" s="9"/>
      <c r="AJ102" s="9"/>
      <c r="AK102" s="9"/>
      <c r="AL102" s="9"/>
      <c r="AM102" s="9"/>
      <c r="AN102" s="23"/>
      <c r="AO102" s="56"/>
      <c r="AP102" s="10">
        <f>SUM(AD102:AO102)</f>
        <v>250</v>
      </c>
    </row>
    <row r="103" spans="1:44" ht="13.5" thickBot="1" x14ac:dyDescent="0.35">
      <c r="C103" s="6" t="str">
        <f>C97</f>
        <v>Intercept</v>
      </c>
      <c r="D103" s="9">
        <f>5000+15002.29</f>
        <v>20002.29</v>
      </c>
      <c r="E103" s="9">
        <f>5000+15002.29</f>
        <v>20002.29</v>
      </c>
      <c r="F103" s="9">
        <f>5000+15002.29</f>
        <v>20002.29</v>
      </c>
      <c r="G103" s="9">
        <f>5000+15002.3</f>
        <v>20002.3</v>
      </c>
      <c r="H103" s="9">
        <f>5000+14734.79</f>
        <v>19734.79</v>
      </c>
      <c r="I103" s="9">
        <f t="shared" ref="I103:S103" si="62">5000+14734.79</f>
        <v>19734.79</v>
      </c>
      <c r="J103" s="9">
        <f t="shared" si="62"/>
        <v>19734.79</v>
      </c>
      <c r="K103" s="9">
        <f t="shared" si="62"/>
        <v>19734.79</v>
      </c>
      <c r="L103" s="9">
        <f t="shared" si="62"/>
        <v>19734.79</v>
      </c>
      <c r="M103" s="9">
        <f>5000+14734.8</f>
        <v>19734.8</v>
      </c>
      <c r="N103" s="9">
        <f t="shared" si="62"/>
        <v>19734.79</v>
      </c>
      <c r="O103" s="9">
        <f t="shared" si="62"/>
        <v>19734.79</v>
      </c>
      <c r="P103" s="10">
        <f>SUM(D103:O103)</f>
        <v>237887.50000000003</v>
      </c>
      <c r="Q103" s="9">
        <f t="shared" si="62"/>
        <v>19734.79</v>
      </c>
      <c r="R103" s="9">
        <f t="shared" si="62"/>
        <v>19734.79</v>
      </c>
      <c r="S103" s="9">
        <f t="shared" si="62"/>
        <v>19734.79</v>
      </c>
      <c r="T103" s="9">
        <f>5000+14734.8</f>
        <v>19734.8</v>
      </c>
      <c r="U103" s="9">
        <f>5416.67+14467.29</f>
        <v>19883.96</v>
      </c>
      <c r="V103" s="9">
        <f t="shared" ref="V103:AF103" si="63">5416.67+14467.29</f>
        <v>19883.96</v>
      </c>
      <c r="W103" s="9">
        <f t="shared" si="63"/>
        <v>19883.96</v>
      </c>
      <c r="X103" s="9">
        <f t="shared" si="63"/>
        <v>19883.96</v>
      </c>
      <c r="Y103" s="9">
        <f t="shared" si="63"/>
        <v>19883.96</v>
      </c>
      <c r="Z103" s="9">
        <f>5416.67+14467.3</f>
        <v>19883.97</v>
      </c>
      <c r="AA103" s="9">
        <f t="shared" si="63"/>
        <v>19883.96</v>
      </c>
      <c r="AB103" s="9">
        <f t="shared" si="63"/>
        <v>19883.96</v>
      </c>
      <c r="AC103" s="10">
        <f>SUM(Q103:AB103)</f>
        <v>238010.85999999996</v>
      </c>
      <c r="AD103" s="9">
        <f t="shared" si="63"/>
        <v>19883.96</v>
      </c>
      <c r="AE103" s="9">
        <f t="shared" si="63"/>
        <v>19883.96</v>
      </c>
      <c r="AF103" s="9">
        <f t="shared" si="63"/>
        <v>19883.96</v>
      </c>
      <c r="AG103" s="9">
        <f>5416.63+14467.3</f>
        <v>19883.93</v>
      </c>
      <c r="AH103" s="10">
        <f>5833.33+14177.5</f>
        <v>20010.830000000002</v>
      </c>
      <c r="AI103" s="10">
        <f t="shared" ref="AI103:AO103" si="64">5833.33+14177.5</f>
        <v>20010.830000000002</v>
      </c>
      <c r="AJ103" s="10">
        <f t="shared" si="64"/>
        <v>20010.830000000002</v>
      </c>
      <c r="AK103" s="10">
        <f t="shared" si="64"/>
        <v>20010.830000000002</v>
      </c>
      <c r="AL103" s="10">
        <f t="shared" si="64"/>
        <v>20010.830000000002</v>
      </c>
      <c r="AM103" s="10">
        <f t="shared" si="64"/>
        <v>20010.830000000002</v>
      </c>
      <c r="AN103" s="10">
        <f t="shared" si="64"/>
        <v>20010.830000000002</v>
      </c>
      <c r="AO103" s="55">
        <f t="shared" si="64"/>
        <v>20010.830000000002</v>
      </c>
      <c r="AP103" s="10">
        <f>SUM(AD103:AO103)</f>
        <v>239622.45000000007</v>
      </c>
      <c r="AR103" s="33"/>
    </row>
    <row r="104" spans="1:44" ht="13.5" thickBot="1" x14ac:dyDescent="0.35">
      <c r="C104" s="11" t="s">
        <v>41</v>
      </c>
      <c r="D104" s="12">
        <f t="shared" ref="D104:O104" si="65">SUM(D101:D103)</f>
        <v>20252.29</v>
      </c>
      <c r="E104" s="12">
        <f t="shared" si="65"/>
        <v>20002.29</v>
      </c>
      <c r="F104" s="12">
        <f t="shared" si="65"/>
        <v>20002.29</v>
      </c>
      <c r="G104" s="12">
        <f t="shared" si="65"/>
        <v>20002.3</v>
      </c>
      <c r="H104" s="12">
        <f t="shared" si="65"/>
        <v>19734.79</v>
      </c>
      <c r="I104" s="12">
        <f t="shared" si="65"/>
        <v>19734.79</v>
      </c>
      <c r="J104" s="12">
        <f t="shared" si="65"/>
        <v>19734.79</v>
      </c>
      <c r="K104" s="12">
        <f t="shared" si="65"/>
        <v>19734.79</v>
      </c>
      <c r="L104" s="12">
        <f t="shared" si="65"/>
        <v>19734.79</v>
      </c>
      <c r="M104" s="12">
        <f t="shared" si="65"/>
        <v>19734.8</v>
      </c>
      <c r="N104" s="12">
        <f t="shared" si="65"/>
        <v>19734.79</v>
      </c>
      <c r="O104" s="12">
        <f t="shared" si="65"/>
        <v>19734.79</v>
      </c>
      <c r="P104" s="12">
        <f>SUM(P101:P103)</f>
        <v>238137.50000000003</v>
      </c>
      <c r="Q104" s="12">
        <f t="shared" ref="Q104:AB104" si="66">SUM(Q101:Q103)</f>
        <v>19984.79</v>
      </c>
      <c r="R104" s="12">
        <f t="shared" si="66"/>
        <v>19734.79</v>
      </c>
      <c r="S104" s="12">
        <f t="shared" si="66"/>
        <v>19734.79</v>
      </c>
      <c r="T104" s="12">
        <f t="shared" si="66"/>
        <v>19734.8</v>
      </c>
      <c r="U104" s="12">
        <f t="shared" si="66"/>
        <v>19883.96</v>
      </c>
      <c r="V104" s="12">
        <f t="shared" si="66"/>
        <v>19883.96</v>
      </c>
      <c r="W104" s="12">
        <f t="shared" si="66"/>
        <v>19883.96</v>
      </c>
      <c r="X104" s="12">
        <f t="shared" si="66"/>
        <v>19883.96</v>
      </c>
      <c r="Y104" s="12">
        <f t="shared" si="66"/>
        <v>19883.96</v>
      </c>
      <c r="Z104" s="12">
        <f t="shared" si="66"/>
        <v>19883.97</v>
      </c>
      <c r="AA104" s="12">
        <f t="shared" si="66"/>
        <v>19883.96</v>
      </c>
      <c r="AB104" s="12">
        <f t="shared" si="66"/>
        <v>19883.96</v>
      </c>
      <c r="AC104" s="12">
        <f>SUM(AC101:AC103)</f>
        <v>238260.85999999996</v>
      </c>
      <c r="AD104" s="12">
        <f>SUM(AD101:AD103)</f>
        <v>20133.96</v>
      </c>
      <c r="AE104" s="12">
        <f>SUM(AE101:AE103)</f>
        <v>19883.96</v>
      </c>
      <c r="AF104" s="12">
        <f t="shared" ref="AF104:AO104" si="67">SUM(AF101:AF103)</f>
        <v>19883.96</v>
      </c>
      <c r="AG104" s="12">
        <f t="shared" si="67"/>
        <v>19883.93</v>
      </c>
      <c r="AH104" s="12">
        <f t="shared" si="67"/>
        <v>20010.830000000002</v>
      </c>
      <c r="AI104" s="12">
        <f t="shared" si="67"/>
        <v>20010.830000000002</v>
      </c>
      <c r="AJ104" s="12">
        <f t="shared" si="67"/>
        <v>20010.830000000002</v>
      </c>
      <c r="AK104" s="12">
        <f t="shared" si="67"/>
        <v>20010.830000000002</v>
      </c>
      <c r="AL104" s="12">
        <f t="shared" si="67"/>
        <v>20010.830000000002</v>
      </c>
      <c r="AM104" s="12">
        <f t="shared" si="67"/>
        <v>20010.830000000002</v>
      </c>
      <c r="AN104" s="12">
        <f t="shared" si="67"/>
        <v>20010.830000000002</v>
      </c>
      <c r="AO104" s="57">
        <f t="shared" si="67"/>
        <v>20010.830000000002</v>
      </c>
      <c r="AP104" s="12">
        <f>SUM(AP101:AP103)</f>
        <v>239872.45000000007</v>
      </c>
    </row>
    <row r="105" spans="1:44" x14ac:dyDescent="0.3">
      <c r="C105" s="13"/>
    </row>
    <row r="106" spans="1:44" ht="15.5" x14ac:dyDescent="0.35">
      <c r="A106" s="18">
        <f>+A100+1</f>
        <v>14</v>
      </c>
      <c r="B106" s="21"/>
      <c r="C106" s="22" t="s">
        <v>42</v>
      </c>
    </row>
    <row r="107" spans="1:44" x14ac:dyDescent="0.3">
      <c r="C107" s="6" t="str">
        <f>C101</f>
        <v>Debt Reserve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f>SUM(D107:O107)</f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f>SUM(Q107:AB107)</f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55">
        <v>0</v>
      </c>
      <c r="AP107" s="10">
        <f>SUM(AD107:AO107)</f>
        <v>0</v>
      </c>
    </row>
    <row r="108" spans="1:44" x14ac:dyDescent="0.3">
      <c r="C108" s="6" t="str">
        <f>C102</f>
        <v>Treasury Fee</v>
      </c>
      <c r="D108" s="9">
        <v>250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0">
        <f>SUM(D108:O108)</f>
        <v>250</v>
      </c>
      <c r="Q108" s="9">
        <v>250</v>
      </c>
      <c r="AC108" s="10">
        <f>SUM(Q108:AB108)</f>
        <v>250</v>
      </c>
      <c r="AD108" s="9">
        <v>250</v>
      </c>
      <c r="AE108" s="9"/>
      <c r="AF108" s="9"/>
      <c r="AG108" s="9"/>
      <c r="AH108" s="9"/>
      <c r="AI108" s="9"/>
      <c r="AJ108" s="9"/>
      <c r="AK108" s="9"/>
      <c r="AL108" s="9"/>
      <c r="AM108" s="9"/>
      <c r="AN108" s="23"/>
      <c r="AO108" s="56"/>
      <c r="AP108" s="10">
        <f>SUM(AD108:AO108)</f>
        <v>250</v>
      </c>
    </row>
    <row r="109" spans="1:44" ht="13.5" thickBot="1" x14ac:dyDescent="0.35">
      <c r="C109" s="6" t="str">
        <f>C103</f>
        <v>Intercept</v>
      </c>
      <c r="D109" s="9">
        <f t="shared" ref="D109:M109" si="68">38750+119210.42</f>
        <v>157960.41999999998</v>
      </c>
      <c r="E109" s="9">
        <f t="shared" si="68"/>
        <v>157960.41999999998</v>
      </c>
      <c r="F109" s="9">
        <f t="shared" si="68"/>
        <v>157960.41999999998</v>
      </c>
      <c r="G109" s="9">
        <f t="shared" si="68"/>
        <v>157960.41999999998</v>
      </c>
      <c r="H109" s="9">
        <f t="shared" si="68"/>
        <v>157960.41999999998</v>
      </c>
      <c r="I109" s="9">
        <f t="shared" si="68"/>
        <v>157960.41999999998</v>
      </c>
      <c r="J109" s="9">
        <f t="shared" si="68"/>
        <v>157960.41999999998</v>
      </c>
      <c r="K109" s="9">
        <f t="shared" si="68"/>
        <v>157960.41999999998</v>
      </c>
      <c r="L109" s="9">
        <f t="shared" si="68"/>
        <v>157960.41999999998</v>
      </c>
      <c r="M109" s="9">
        <f t="shared" si="68"/>
        <v>157960.41999999998</v>
      </c>
      <c r="N109" s="9">
        <f>40000+117611.98</f>
        <v>157611.97999999998</v>
      </c>
      <c r="O109" s="9">
        <f>40000+117611.98</f>
        <v>157611.97999999998</v>
      </c>
      <c r="P109" s="10">
        <f>SUM(D109:O109)</f>
        <v>1894828.1599999995</v>
      </c>
      <c r="Q109" s="9">
        <f t="shared" ref="Q109:Z109" si="69">40000+117611.98</f>
        <v>157611.97999999998</v>
      </c>
      <c r="R109" s="9">
        <f t="shared" si="69"/>
        <v>157611.97999999998</v>
      </c>
      <c r="S109" s="9">
        <f t="shared" si="69"/>
        <v>157611.97999999998</v>
      </c>
      <c r="T109" s="9">
        <f t="shared" si="69"/>
        <v>157611.97999999998</v>
      </c>
      <c r="U109" s="9">
        <f t="shared" si="69"/>
        <v>157611.97999999998</v>
      </c>
      <c r="V109" s="9">
        <f t="shared" si="69"/>
        <v>157611.97999999998</v>
      </c>
      <c r="W109" s="9">
        <f t="shared" si="69"/>
        <v>157611.97999999998</v>
      </c>
      <c r="X109" s="9">
        <f t="shared" si="69"/>
        <v>157611.97999999998</v>
      </c>
      <c r="Y109" s="9">
        <f t="shared" si="69"/>
        <v>157611.97999999998</v>
      </c>
      <c r="Z109" s="9">
        <f t="shared" si="69"/>
        <v>157611.97999999998</v>
      </c>
      <c r="AA109" s="9">
        <f>42083.33+115961.98</f>
        <v>158045.31</v>
      </c>
      <c r="AB109" s="9">
        <f>42083.33+115961.98</f>
        <v>158045.31</v>
      </c>
      <c r="AC109" s="10">
        <f>SUM(Q109:AB109)</f>
        <v>1892210.42</v>
      </c>
      <c r="AD109" s="9">
        <f t="shared" ref="AD109:AM109" si="70">42083.33+115961.98</f>
        <v>158045.31</v>
      </c>
      <c r="AE109" s="9">
        <f t="shared" si="70"/>
        <v>158045.31</v>
      </c>
      <c r="AF109" s="9">
        <f t="shared" si="70"/>
        <v>158045.31</v>
      </c>
      <c r="AG109" s="9">
        <f t="shared" si="70"/>
        <v>158045.31</v>
      </c>
      <c r="AH109" s="9">
        <f t="shared" si="70"/>
        <v>158045.31</v>
      </c>
      <c r="AI109" s="9">
        <f t="shared" si="70"/>
        <v>158045.31</v>
      </c>
      <c r="AJ109" s="9">
        <f t="shared" si="70"/>
        <v>158045.31</v>
      </c>
      <c r="AK109" s="9">
        <f t="shared" si="70"/>
        <v>158045.31</v>
      </c>
      <c r="AL109" s="9">
        <f t="shared" si="70"/>
        <v>158045.31</v>
      </c>
      <c r="AM109" s="9">
        <f t="shared" si="70"/>
        <v>158045.31</v>
      </c>
      <c r="AN109" s="10">
        <v>157559.38</v>
      </c>
      <c r="AO109" s="55">
        <v>157559.38</v>
      </c>
      <c r="AP109" s="10">
        <f>SUM(AD109:AO109)</f>
        <v>1895571.8600000003</v>
      </c>
      <c r="AR109" s="33"/>
    </row>
    <row r="110" spans="1:44" ht="13.5" thickBot="1" x14ac:dyDescent="0.35">
      <c r="C110" s="11" t="s">
        <v>43</v>
      </c>
      <c r="D110" s="12">
        <f t="shared" ref="D110:O110" si="71">SUM(D107:D109)</f>
        <v>158210.41999999998</v>
      </c>
      <c r="E110" s="12">
        <f t="shared" si="71"/>
        <v>157960.41999999998</v>
      </c>
      <c r="F110" s="12">
        <f t="shared" si="71"/>
        <v>157960.41999999998</v>
      </c>
      <c r="G110" s="12">
        <f t="shared" si="71"/>
        <v>157960.41999999998</v>
      </c>
      <c r="H110" s="12">
        <f t="shared" si="71"/>
        <v>157960.41999999998</v>
      </c>
      <c r="I110" s="12">
        <f t="shared" si="71"/>
        <v>157960.41999999998</v>
      </c>
      <c r="J110" s="12">
        <f t="shared" si="71"/>
        <v>157960.41999999998</v>
      </c>
      <c r="K110" s="12">
        <f t="shared" si="71"/>
        <v>157960.41999999998</v>
      </c>
      <c r="L110" s="12">
        <f t="shared" si="71"/>
        <v>157960.41999999998</v>
      </c>
      <c r="M110" s="12">
        <f t="shared" si="71"/>
        <v>157960.41999999998</v>
      </c>
      <c r="N110" s="12">
        <f t="shared" si="71"/>
        <v>157611.97999999998</v>
      </c>
      <c r="O110" s="12">
        <f t="shared" si="71"/>
        <v>157611.97999999998</v>
      </c>
      <c r="P110" s="12">
        <f>SUM(P107:P109)</f>
        <v>1895078.1599999995</v>
      </c>
      <c r="Q110" s="12">
        <f t="shared" ref="Q110:AB110" si="72">SUM(Q107:Q109)</f>
        <v>157861.97999999998</v>
      </c>
      <c r="R110" s="12">
        <f t="shared" si="72"/>
        <v>157611.97999999998</v>
      </c>
      <c r="S110" s="12">
        <f t="shared" si="72"/>
        <v>157611.97999999998</v>
      </c>
      <c r="T110" s="12">
        <f t="shared" si="72"/>
        <v>157611.97999999998</v>
      </c>
      <c r="U110" s="12">
        <f t="shared" si="72"/>
        <v>157611.97999999998</v>
      </c>
      <c r="V110" s="12">
        <f t="shared" si="72"/>
        <v>157611.97999999998</v>
      </c>
      <c r="W110" s="12">
        <f t="shared" si="72"/>
        <v>157611.97999999998</v>
      </c>
      <c r="X110" s="12">
        <f t="shared" si="72"/>
        <v>157611.97999999998</v>
      </c>
      <c r="Y110" s="12">
        <f t="shared" si="72"/>
        <v>157611.97999999998</v>
      </c>
      <c r="Z110" s="12">
        <f t="shared" si="72"/>
        <v>157611.97999999998</v>
      </c>
      <c r="AA110" s="12">
        <f t="shared" si="72"/>
        <v>158045.31</v>
      </c>
      <c r="AB110" s="12">
        <f t="shared" si="72"/>
        <v>158045.31</v>
      </c>
      <c r="AC110" s="12">
        <f>SUM(AC107:AC109)</f>
        <v>1892460.42</v>
      </c>
      <c r="AD110" s="12">
        <f>SUM(AD107:AD109)</f>
        <v>158295.31</v>
      </c>
      <c r="AE110" s="12">
        <f>SUM(AE107:AE109)</f>
        <v>158045.31</v>
      </c>
      <c r="AF110" s="12">
        <f t="shared" ref="AF110:AO110" si="73">SUM(AF107:AF109)</f>
        <v>158045.31</v>
      </c>
      <c r="AG110" s="12">
        <f t="shared" si="73"/>
        <v>158045.31</v>
      </c>
      <c r="AH110" s="12">
        <f t="shared" si="73"/>
        <v>158045.31</v>
      </c>
      <c r="AI110" s="12">
        <f t="shared" si="73"/>
        <v>158045.31</v>
      </c>
      <c r="AJ110" s="12">
        <f t="shared" si="73"/>
        <v>158045.31</v>
      </c>
      <c r="AK110" s="12">
        <f t="shared" si="73"/>
        <v>158045.31</v>
      </c>
      <c r="AL110" s="12">
        <f t="shared" si="73"/>
        <v>158045.31</v>
      </c>
      <c r="AM110" s="12">
        <f t="shared" si="73"/>
        <v>158045.31</v>
      </c>
      <c r="AN110" s="12">
        <f t="shared" si="73"/>
        <v>157559.38</v>
      </c>
      <c r="AO110" s="57">
        <f t="shared" si="73"/>
        <v>157559.38</v>
      </c>
      <c r="AP110" s="12">
        <f>SUM(AP107:AP109)</f>
        <v>1895821.8600000003</v>
      </c>
    </row>
    <row r="111" spans="1:44" x14ac:dyDescent="0.3">
      <c r="C111" s="13"/>
    </row>
    <row r="112" spans="1:44" ht="15.5" x14ac:dyDescent="0.35">
      <c r="A112" s="18">
        <f>+A106+1</f>
        <v>15</v>
      </c>
      <c r="B112" s="21"/>
      <c r="C112" s="22" t="s">
        <v>44</v>
      </c>
    </row>
    <row r="113" spans="1:44" x14ac:dyDescent="0.3">
      <c r="C113" s="6" t="str">
        <f>C107</f>
        <v>Debt Reserve</v>
      </c>
      <c r="D113" s="9">
        <v>1107.92</v>
      </c>
      <c r="E113" s="9">
        <v>1107.92</v>
      </c>
      <c r="F113" s="9">
        <v>1107.92</v>
      </c>
      <c r="G113" s="9">
        <v>1107.92</v>
      </c>
      <c r="H113" s="9">
        <v>1107.92</v>
      </c>
      <c r="I113" s="9">
        <v>1107.92</v>
      </c>
      <c r="J113" s="9">
        <v>1107.92</v>
      </c>
      <c r="K113" s="9">
        <v>1107.92</v>
      </c>
      <c r="L113" s="9">
        <v>1107.92</v>
      </c>
      <c r="M113" s="9">
        <v>1107.92</v>
      </c>
      <c r="N113" s="9">
        <v>1107.92</v>
      </c>
      <c r="O113" s="9">
        <v>1107.92</v>
      </c>
      <c r="P113" s="10">
        <f>SUM(D113:O113)</f>
        <v>13295.04</v>
      </c>
      <c r="Q113" s="9">
        <v>1043.75</v>
      </c>
      <c r="R113" s="9">
        <v>1043.75</v>
      </c>
      <c r="S113" s="9">
        <v>1043.75</v>
      </c>
      <c r="T113" s="9">
        <v>1043.75</v>
      </c>
      <c r="U113" s="9">
        <v>1043.75</v>
      </c>
      <c r="V113" s="9">
        <v>1043.75</v>
      </c>
      <c r="W113" s="9">
        <v>1043.75</v>
      </c>
      <c r="X113" s="9">
        <v>1043.75</v>
      </c>
      <c r="Y113" s="9">
        <v>1043.75</v>
      </c>
      <c r="Z113" s="9">
        <v>1043.75</v>
      </c>
      <c r="AA113" s="9">
        <v>1043.75</v>
      </c>
      <c r="AB113" s="9">
        <v>1043.75</v>
      </c>
      <c r="AC113" s="10">
        <f>SUM(Q113:AB113)</f>
        <v>12525</v>
      </c>
      <c r="AD113" s="10">
        <v>977.08</v>
      </c>
      <c r="AE113" s="10">
        <v>977.08</v>
      </c>
      <c r="AF113" s="10">
        <v>977.08</v>
      </c>
      <c r="AG113" s="10">
        <v>977.08</v>
      </c>
      <c r="AH113" s="10">
        <v>977.08</v>
      </c>
      <c r="AI113" s="10">
        <v>977.08</v>
      </c>
      <c r="AJ113" s="10">
        <v>977.08</v>
      </c>
      <c r="AK113" s="10">
        <v>977.08</v>
      </c>
      <c r="AL113" s="10">
        <v>977.08</v>
      </c>
      <c r="AM113" s="10">
        <v>977.08</v>
      </c>
      <c r="AN113" s="10">
        <v>977.08</v>
      </c>
      <c r="AO113" s="55">
        <v>977.08</v>
      </c>
      <c r="AP113" s="10">
        <f>SUM(AD113:AO113)</f>
        <v>11724.960000000001</v>
      </c>
    </row>
    <row r="114" spans="1:44" x14ac:dyDescent="0.3">
      <c r="C114" s="6" t="str">
        <f>C108</f>
        <v>Treasury Fee</v>
      </c>
      <c r="D114" s="9">
        <v>250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0">
        <f>SUM(D114:O114)</f>
        <v>250</v>
      </c>
      <c r="Q114" s="9">
        <v>250</v>
      </c>
      <c r="AC114" s="10">
        <f>SUM(Q114:AB114)</f>
        <v>250</v>
      </c>
      <c r="AD114" s="9">
        <v>250</v>
      </c>
      <c r="AE114" s="9"/>
      <c r="AF114" s="9"/>
      <c r="AG114" s="9"/>
      <c r="AH114" s="9"/>
      <c r="AI114" s="9"/>
      <c r="AJ114" s="9"/>
      <c r="AK114" s="9"/>
      <c r="AL114" s="9"/>
      <c r="AM114" s="9"/>
      <c r="AN114" s="23"/>
      <c r="AO114" s="56"/>
      <c r="AP114" s="10">
        <f>SUM(AD114:AO114)</f>
        <v>250</v>
      </c>
    </row>
    <row r="115" spans="1:44" ht="13.5" thickBot="1" x14ac:dyDescent="0.35">
      <c r="C115" s="6" t="str">
        <f>C109</f>
        <v>Intercept</v>
      </c>
      <c r="D115" s="9">
        <f>61666.67+56845.83</f>
        <v>118512.5</v>
      </c>
      <c r="E115" s="9">
        <f>64166.67+54379.17</f>
        <v>118545.84</v>
      </c>
      <c r="F115" s="9">
        <f t="shared" ref="F115:Q115" si="74">64166.67+54379.17</f>
        <v>118545.84</v>
      </c>
      <c r="G115" s="9">
        <f t="shared" si="74"/>
        <v>118545.84</v>
      </c>
      <c r="H115" s="9">
        <f t="shared" si="74"/>
        <v>118545.84</v>
      </c>
      <c r="I115" s="9">
        <f t="shared" si="74"/>
        <v>118545.84</v>
      </c>
      <c r="J115" s="9">
        <f t="shared" si="74"/>
        <v>118545.84</v>
      </c>
      <c r="K115" s="9">
        <f t="shared" si="74"/>
        <v>118545.84</v>
      </c>
      <c r="L115" s="9">
        <f t="shared" si="74"/>
        <v>118545.84</v>
      </c>
      <c r="M115" s="9">
        <f t="shared" si="74"/>
        <v>118545.84</v>
      </c>
      <c r="N115" s="9">
        <f t="shared" si="74"/>
        <v>118545.84</v>
      </c>
      <c r="O115" s="9">
        <f t="shared" si="74"/>
        <v>118545.84</v>
      </c>
      <c r="P115" s="10">
        <f>SUM(D115:O115)</f>
        <v>1422516.7400000002</v>
      </c>
      <c r="Q115" s="9">
        <f t="shared" si="74"/>
        <v>118545.84</v>
      </c>
      <c r="R115" s="9">
        <f>66666.67+51812.5</f>
        <v>118479.17</v>
      </c>
      <c r="S115" s="9">
        <f t="shared" ref="S115:AD115" si="75">66666.67+51812.5</f>
        <v>118479.17</v>
      </c>
      <c r="T115" s="9">
        <f t="shared" si="75"/>
        <v>118479.17</v>
      </c>
      <c r="U115" s="9">
        <f t="shared" si="75"/>
        <v>118479.17</v>
      </c>
      <c r="V115" s="9">
        <f t="shared" si="75"/>
        <v>118479.17</v>
      </c>
      <c r="W115" s="9">
        <f t="shared" si="75"/>
        <v>118479.17</v>
      </c>
      <c r="X115" s="9">
        <f t="shared" si="75"/>
        <v>118479.17</v>
      </c>
      <c r="Y115" s="9">
        <f t="shared" si="75"/>
        <v>118479.17</v>
      </c>
      <c r="Z115" s="9">
        <f t="shared" si="75"/>
        <v>118479.17</v>
      </c>
      <c r="AA115" s="9">
        <f t="shared" si="75"/>
        <v>118479.17</v>
      </c>
      <c r="AB115" s="9">
        <f t="shared" si="75"/>
        <v>118479.17</v>
      </c>
      <c r="AC115" s="10">
        <f>SUM(Q115:AB115)</f>
        <v>1421816.71</v>
      </c>
      <c r="AD115" s="9">
        <f t="shared" si="75"/>
        <v>118479.17</v>
      </c>
      <c r="AE115" s="10">
        <f>69166.67+49145.83</f>
        <v>118312.5</v>
      </c>
      <c r="AF115" s="10">
        <f t="shared" ref="AF115:AO115" si="76">69166.67+49145.83</f>
        <v>118312.5</v>
      </c>
      <c r="AG115" s="10">
        <f t="shared" si="76"/>
        <v>118312.5</v>
      </c>
      <c r="AH115" s="10">
        <f t="shared" si="76"/>
        <v>118312.5</v>
      </c>
      <c r="AI115" s="10">
        <f t="shared" si="76"/>
        <v>118312.5</v>
      </c>
      <c r="AJ115" s="10">
        <f t="shared" si="76"/>
        <v>118312.5</v>
      </c>
      <c r="AK115" s="10">
        <f t="shared" si="76"/>
        <v>118312.5</v>
      </c>
      <c r="AL115" s="10">
        <f t="shared" si="76"/>
        <v>118312.5</v>
      </c>
      <c r="AM115" s="10">
        <f t="shared" si="76"/>
        <v>118312.5</v>
      </c>
      <c r="AN115" s="10">
        <f t="shared" si="76"/>
        <v>118312.5</v>
      </c>
      <c r="AO115" s="55">
        <f t="shared" si="76"/>
        <v>118312.5</v>
      </c>
      <c r="AP115" s="10">
        <f>SUM(AD115:AO115)</f>
        <v>1419916.67</v>
      </c>
      <c r="AR115" s="33"/>
    </row>
    <row r="116" spans="1:44" ht="13.5" thickBot="1" x14ac:dyDescent="0.35">
      <c r="C116" s="11" t="s">
        <v>45</v>
      </c>
      <c r="D116" s="12">
        <f t="shared" ref="D116:O116" si="77">SUM(D113:D115)</f>
        <v>119870.42</v>
      </c>
      <c r="E116" s="12">
        <f t="shared" si="77"/>
        <v>119653.75999999999</v>
      </c>
      <c r="F116" s="12">
        <f t="shared" si="77"/>
        <v>119653.75999999999</v>
      </c>
      <c r="G116" s="12">
        <f t="shared" si="77"/>
        <v>119653.75999999999</v>
      </c>
      <c r="H116" s="12">
        <f t="shared" si="77"/>
        <v>119653.75999999999</v>
      </c>
      <c r="I116" s="12">
        <f t="shared" si="77"/>
        <v>119653.75999999999</v>
      </c>
      <c r="J116" s="12">
        <f t="shared" si="77"/>
        <v>119653.75999999999</v>
      </c>
      <c r="K116" s="12">
        <f t="shared" si="77"/>
        <v>119653.75999999999</v>
      </c>
      <c r="L116" s="12">
        <f t="shared" si="77"/>
        <v>119653.75999999999</v>
      </c>
      <c r="M116" s="12">
        <f t="shared" si="77"/>
        <v>119653.75999999999</v>
      </c>
      <c r="N116" s="12">
        <f t="shared" si="77"/>
        <v>119653.75999999999</v>
      </c>
      <c r="O116" s="12">
        <f t="shared" si="77"/>
        <v>119653.75999999999</v>
      </c>
      <c r="P116" s="12">
        <f>SUM(P113:P115)</f>
        <v>1436061.7800000003</v>
      </c>
      <c r="Q116" s="12">
        <f t="shared" ref="Q116:AB116" si="78">SUM(Q113:Q115)</f>
        <v>119839.59</v>
      </c>
      <c r="R116" s="12">
        <f t="shared" si="78"/>
        <v>119522.92</v>
      </c>
      <c r="S116" s="12">
        <f t="shared" si="78"/>
        <v>119522.92</v>
      </c>
      <c r="T116" s="12">
        <f t="shared" si="78"/>
        <v>119522.92</v>
      </c>
      <c r="U116" s="12">
        <f t="shared" si="78"/>
        <v>119522.92</v>
      </c>
      <c r="V116" s="12">
        <f t="shared" si="78"/>
        <v>119522.92</v>
      </c>
      <c r="W116" s="12">
        <f t="shared" si="78"/>
        <v>119522.92</v>
      </c>
      <c r="X116" s="12">
        <f t="shared" si="78"/>
        <v>119522.92</v>
      </c>
      <c r="Y116" s="12">
        <f t="shared" si="78"/>
        <v>119522.92</v>
      </c>
      <c r="Z116" s="12">
        <f t="shared" si="78"/>
        <v>119522.92</v>
      </c>
      <c r="AA116" s="12">
        <f t="shared" si="78"/>
        <v>119522.92</v>
      </c>
      <c r="AB116" s="12">
        <f t="shared" si="78"/>
        <v>119522.92</v>
      </c>
      <c r="AC116" s="12">
        <f>SUM(AC113:AC115)</f>
        <v>1434591.71</v>
      </c>
      <c r="AD116" s="12">
        <f>SUM(AD113:AD115)</f>
        <v>119706.25</v>
      </c>
      <c r="AE116" s="12">
        <f>SUM(AE113:AE115)</f>
        <v>119289.58</v>
      </c>
      <c r="AF116" s="12">
        <f t="shared" ref="AF116:AO116" si="79">SUM(AF113:AF115)</f>
        <v>119289.58</v>
      </c>
      <c r="AG116" s="12">
        <f t="shared" si="79"/>
        <v>119289.58</v>
      </c>
      <c r="AH116" s="12">
        <f t="shared" si="79"/>
        <v>119289.58</v>
      </c>
      <c r="AI116" s="12">
        <f t="shared" si="79"/>
        <v>119289.58</v>
      </c>
      <c r="AJ116" s="12">
        <f t="shared" si="79"/>
        <v>119289.58</v>
      </c>
      <c r="AK116" s="12">
        <f t="shared" si="79"/>
        <v>119289.58</v>
      </c>
      <c r="AL116" s="12">
        <f t="shared" si="79"/>
        <v>119289.58</v>
      </c>
      <c r="AM116" s="12">
        <f t="shared" si="79"/>
        <v>119289.58</v>
      </c>
      <c r="AN116" s="12">
        <f t="shared" si="79"/>
        <v>119289.58</v>
      </c>
      <c r="AO116" s="57">
        <f t="shared" si="79"/>
        <v>119289.58</v>
      </c>
      <c r="AP116" s="12">
        <f>SUM(AP113:AP115)</f>
        <v>1431891.63</v>
      </c>
    </row>
    <row r="117" spans="1:44" x14ac:dyDescent="0.3">
      <c r="C117" s="13"/>
    </row>
    <row r="118" spans="1:44" ht="15.5" x14ac:dyDescent="0.35">
      <c r="A118" s="18">
        <f>+A112+1</f>
        <v>16</v>
      </c>
      <c r="B118" s="21"/>
      <c r="C118" s="22" t="s">
        <v>46</v>
      </c>
    </row>
    <row r="119" spans="1:44" x14ac:dyDescent="0.3">
      <c r="C119" s="6" t="str">
        <f>C113</f>
        <v>Debt Reserve</v>
      </c>
      <c r="D119" s="9">
        <v>1620.42</v>
      </c>
      <c r="E119" s="9">
        <v>1620.42</v>
      </c>
      <c r="F119" s="9">
        <v>1620.42</v>
      </c>
      <c r="G119" s="9">
        <v>1620.42</v>
      </c>
      <c r="H119" s="9">
        <v>1580.83</v>
      </c>
      <c r="I119" s="9">
        <v>1580.83</v>
      </c>
      <c r="J119" s="9">
        <v>1580.83</v>
      </c>
      <c r="K119" s="9">
        <v>1580.83</v>
      </c>
      <c r="L119" s="9">
        <v>1580.83</v>
      </c>
      <c r="M119" s="9">
        <v>1580.83</v>
      </c>
      <c r="N119" s="9">
        <v>1580.83</v>
      </c>
      <c r="O119" s="9">
        <v>1580.83</v>
      </c>
      <c r="P119" s="10">
        <f>SUM(D119:O119)</f>
        <v>19128.32</v>
      </c>
      <c r="Q119" s="9">
        <v>1580.83</v>
      </c>
      <c r="R119" s="9">
        <v>1580.83</v>
      </c>
      <c r="S119" s="9">
        <v>1580.83</v>
      </c>
      <c r="T119" s="9">
        <v>1580.83</v>
      </c>
      <c r="U119" s="9">
        <v>1539.58</v>
      </c>
      <c r="V119" s="9">
        <v>1539.58</v>
      </c>
      <c r="W119" s="9">
        <v>1539.58</v>
      </c>
      <c r="X119" s="9">
        <v>1539.58</v>
      </c>
      <c r="Y119" s="9">
        <v>1539.58</v>
      </c>
      <c r="Z119" s="9">
        <v>1539.58</v>
      </c>
      <c r="AA119" s="9">
        <v>1539.58</v>
      </c>
      <c r="AB119" s="9">
        <v>1539.58</v>
      </c>
      <c r="AC119" s="10">
        <f>SUM(Q119:AB119)</f>
        <v>18639.96</v>
      </c>
      <c r="AD119" s="9">
        <v>1539.58</v>
      </c>
      <c r="AE119" s="9">
        <v>1539.58</v>
      </c>
      <c r="AF119" s="9">
        <v>1539.58</v>
      </c>
      <c r="AG119" s="9">
        <v>1539.58</v>
      </c>
      <c r="AH119" s="10">
        <v>1496.67</v>
      </c>
      <c r="AI119" s="10">
        <v>1496.67</v>
      </c>
      <c r="AJ119" s="10">
        <v>1496.67</v>
      </c>
      <c r="AK119" s="10">
        <v>1496.67</v>
      </c>
      <c r="AL119" s="10">
        <v>1496.67</v>
      </c>
      <c r="AM119" s="10">
        <v>1496.67</v>
      </c>
      <c r="AN119" s="10">
        <v>1496.67</v>
      </c>
      <c r="AO119" s="55">
        <v>1496.67</v>
      </c>
      <c r="AP119" s="10">
        <f>SUM(AD119:AO119)</f>
        <v>18131.68</v>
      </c>
    </row>
    <row r="120" spans="1:44" x14ac:dyDescent="0.3">
      <c r="C120" s="6" t="str">
        <f>C114</f>
        <v>Treasury Fee</v>
      </c>
      <c r="D120" s="9">
        <v>250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0">
        <f>SUM(D120:O120)</f>
        <v>250</v>
      </c>
      <c r="Q120" s="9">
        <v>250</v>
      </c>
      <c r="AC120" s="10">
        <f>SUM(Q120:AB120)</f>
        <v>250</v>
      </c>
      <c r="AD120" s="9">
        <v>250</v>
      </c>
      <c r="AE120" s="9"/>
      <c r="AF120" s="9"/>
      <c r="AG120" s="9"/>
      <c r="AH120" s="9"/>
      <c r="AI120" s="9"/>
      <c r="AJ120" s="9"/>
      <c r="AK120" s="9"/>
      <c r="AL120" s="9"/>
      <c r="AM120" s="9"/>
      <c r="AN120" s="23"/>
      <c r="AO120" s="56"/>
      <c r="AP120" s="10">
        <f>SUM(AD120:AO120)</f>
        <v>250</v>
      </c>
    </row>
    <row r="121" spans="1:44" ht="13.5" thickBot="1" x14ac:dyDescent="0.35">
      <c r="C121" s="6" t="str">
        <f>C115</f>
        <v>Intercept</v>
      </c>
      <c r="D121" s="9">
        <f>39583.33+68998.96</f>
        <v>108582.29000000001</v>
      </c>
      <c r="E121" s="9">
        <f>39583.33+68998.96</f>
        <v>108582.29000000001</v>
      </c>
      <c r="F121" s="9">
        <f>39583.33+68998.96</f>
        <v>108582.29000000001</v>
      </c>
      <c r="G121" s="9">
        <f>39583.37+68998.95</f>
        <v>108582.32</v>
      </c>
      <c r="H121" s="9">
        <f>41250+67415.63</f>
        <v>108665.63</v>
      </c>
      <c r="I121" s="9">
        <f t="shared" ref="I121:S121" si="80">41250+67415.63</f>
        <v>108665.63</v>
      </c>
      <c r="J121" s="9">
        <f t="shared" si="80"/>
        <v>108665.63</v>
      </c>
      <c r="K121" s="9">
        <f t="shared" si="80"/>
        <v>108665.63</v>
      </c>
      <c r="L121" s="9">
        <f t="shared" si="80"/>
        <v>108665.63</v>
      </c>
      <c r="M121" s="9">
        <f>41250+67415.6</f>
        <v>108665.60000000001</v>
      </c>
      <c r="N121" s="9">
        <f t="shared" si="80"/>
        <v>108665.63</v>
      </c>
      <c r="O121" s="9">
        <f t="shared" si="80"/>
        <v>108665.63</v>
      </c>
      <c r="P121" s="10">
        <f>SUM(D121:O121)</f>
        <v>1303654.2000000002</v>
      </c>
      <c r="Q121" s="9">
        <f t="shared" si="80"/>
        <v>108665.63</v>
      </c>
      <c r="R121" s="9">
        <f t="shared" si="80"/>
        <v>108665.63</v>
      </c>
      <c r="S121" s="9">
        <f t="shared" si="80"/>
        <v>108665.63</v>
      </c>
      <c r="T121" s="9">
        <f>41250+67415.6</f>
        <v>108665.60000000001</v>
      </c>
      <c r="U121" s="9">
        <f>42916.67+65765.63</f>
        <v>108682.3</v>
      </c>
      <c r="V121" s="9">
        <f t="shared" ref="V121:AF121" si="81">42916.67+65765.63</f>
        <v>108682.3</v>
      </c>
      <c r="W121" s="9">
        <f t="shared" si="81"/>
        <v>108682.3</v>
      </c>
      <c r="X121" s="9">
        <f t="shared" si="81"/>
        <v>108682.3</v>
      </c>
      <c r="Y121" s="9">
        <f t="shared" si="81"/>
        <v>108682.3</v>
      </c>
      <c r="Z121" s="9">
        <f>42916.67+65765.6</f>
        <v>108682.27</v>
      </c>
      <c r="AA121" s="9">
        <f t="shared" si="81"/>
        <v>108682.3</v>
      </c>
      <c r="AB121" s="9">
        <f t="shared" si="81"/>
        <v>108682.3</v>
      </c>
      <c r="AC121" s="10">
        <f>SUM(Q121:AB121)</f>
        <v>1304120.8600000003</v>
      </c>
      <c r="AD121" s="9">
        <f t="shared" si="81"/>
        <v>108682.3</v>
      </c>
      <c r="AE121" s="9">
        <f t="shared" si="81"/>
        <v>108682.3</v>
      </c>
      <c r="AF121" s="9">
        <f t="shared" si="81"/>
        <v>108682.3</v>
      </c>
      <c r="AG121" s="9">
        <f>42916.63+65765.6</f>
        <v>108682.23000000001</v>
      </c>
      <c r="AH121" s="10">
        <f>44583.33+64048.96</f>
        <v>108632.29000000001</v>
      </c>
      <c r="AI121" s="10">
        <f t="shared" ref="AI121:AO121" si="82">44583.33+64048.96</f>
        <v>108632.29000000001</v>
      </c>
      <c r="AJ121" s="10">
        <f t="shared" si="82"/>
        <v>108632.29000000001</v>
      </c>
      <c r="AK121" s="10">
        <f t="shared" si="82"/>
        <v>108632.29000000001</v>
      </c>
      <c r="AL121" s="10">
        <f t="shared" si="82"/>
        <v>108632.29000000001</v>
      </c>
      <c r="AM121" s="10">
        <f>44583.33+64048.95</f>
        <v>108632.28</v>
      </c>
      <c r="AN121" s="10">
        <f t="shared" si="82"/>
        <v>108632.29000000001</v>
      </c>
      <c r="AO121" s="55">
        <f t="shared" si="82"/>
        <v>108632.29000000001</v>
      </c>
      <c r="AP121" s="10">
        <f>SUM(AD121:AO121)</f>
        <v>1303787.4400000002</v>
      </c>
      <c r="AR121" s="33"/>
    </row>
    <row r="122" spans="1:44" ht="13.5" thickBot="1" x14ac:dyDescent="0.35">
      <c r="C122" s="11" t="s">
        <v>22</v>
      </c>
      <c r="D122" s="12">
        <f t="shared" ref="D122:O122" si="83">SUM(D119:D121)</f>
        <v>110452.71</v>
      </c>
      <c r="E122" s="12">
        <f t="shared" si="83"/>
        <v>110202.71</v>
      </c>
      <c r="F122" s="12">
        <f t="shared" si="83"/>
        <v>110202.71</v>
      </c>
      <c r="G122" s="12">
        <f t="shared" si="83"/>
        <v>110202.74</v>
      </c>
      <c r="H122" s="12">
        <f t="shared" si="83"/>
        <v>110246.46</v>
      </c>
      <c r="I122" s="12">
        <f t="shared" si="83"/>
        <v>110246.46</v>
      </c>
      <c r="J122" s="12">
        <f t="shared" si="83"/>
        <v>110246.46</v>
      </c>
      <c r="K122" s="12">
        <f t="shared" si="83"/>
        <v>110246.46</v>
      </c>
      <c r="L122" s="12">
        <f t="shared" si="83"/>
        <v>110246.46</v>
      </c>
      <c r="M122" s="12">
        <f t="shared" si="83"/>
        <v>110246.43000000001</v>
      </c>
      <c r="N122" s="12">
        <f t="shared" si="83"/>
        <v>110246.46</v>
      </c>
      <c r="O122" s="12">
        <f t="shared" si="83"/>
        <v>110246.46</v>
      </c>
      <c r="P122" s="12">
        <f>SUM(P119:P121)</f>
        <v>1323032.5200000003</v>
      </c>
      <c r="Q122" s="12">
        <f t="shared" ref="Q122:AB122" si="84">SUM(Q119:Q121)</f>
        <v>110496.46</v>
      </c>
      <c r="R122" s="12">
        <f t="shared" si="84"/>
        <v>110246.46</v>
      </c>
      <c r="S122" s="12">
        <f t="shared" si="84"/>
        <v>110246.46</v>
      </c>
      <c r="T122" s="12">
        <f t="shared" si="84"/>
        <v>110246.43000000001</v>
      </c>
      <c r="U122" s="12">
        <f t="shared" si="84"/>
        <v>110221.88</v>
      </c>
      <c r="V122" s="12">
        <f t="shared" si="84"/>
        <v>110221.88</v>
      </c>
      <c r="W122" s="12">
        <f t="shared" si="84"/>
        <v>110221.88</v>
      </c>
      <c r="X122" s="12">
        <f t="shared" si="84"/>
        <v>110221.88</v>
      </c>
      <c r="Y122" s="12">
        <f t="shared" si="84"/>
        <v>110221.88</v>
      </c>
      <c r="Z122" s="12">
        <f t="shared" si="84"/>
        <v>110221.85</v>
      </c>
      <c r="AA122" s="12">
        <f t="shared" si="84"/>
        <v>110221.88</v>
      </c>
      <c r="AB122" s="12">
        <f t="shared" si="84"/>
        <v>110221.88</v>
      </c>
      <c r="AC122" s="12">
        <f>SUM(AC119:AC121)</f>
        <v>1323010.8200000003</v>
      </c>
      <c r="AD122" s="12">
        <f>SUM(AD119:AD121)</f>
        <v>110471.88</v>
      </c>
      <c r="AE122" s="12">
        <f>SUM(AE119:AE121)</f>
        <v>110221.88</v>
      </c>
      <c r="AF122" s="12">
        <f t="shared" ref="AF122:AO122" si="85">SUM(AF119:AF121)</f>
        <v>110221.88</v>
      </c>
      <c r="AG122" s="12">
        <f t="shared" si="85"/>
        <v>110221.81000000001</v>
      </c>
      <c r="AH122" s="12">
        <f t="shared" si="85"/>
        <v>110128.96000000001</v>
      </c>
      <c r="AI122" s="12">
        <f t="shared" si="85"/>
        <v>110128.96000000001</v>
      </c>
      <c r="AJ122" s="12">
        <f t="shared" si="85"/>
        <v>110128.96000000001</v>
      </c>
      <c r="AK122" s="12">
        <f t="shared" si="85"/>
        <v>110128.96000000001</v>
      </c>
      <c r="AL122" s="12">
        <f t="shared" si="85"/>
        <v>110128.96000000001</v>
      </c>
      <c r="AM122" s="12">
        <f t="shared" si="85"/>
        <v>110128.95</v>
      </c>
      <c r="AN122" s="12">
        <f t="shared" si="85"/>
        <v>110128.96000000001</v>
      </c>
      <c r="AO122" s="57">
        <f t="shared" si="85"/>
        <v>110128.96000000001</v>
      </c>
      <c r="AP122" s="12">
        <f>SUM(AP119:AP121)</f>
        <v>1322169.1200000001</v>
      </c>
    </row>
    <row r="123" spans="1:44" x14ac:dyDescent="0.3">
      <c r="C123" s="13"/>
    </row>
    <row r="124" spans="1:44" ht="15.5" x14ac:dyDescent="0.35">
      <c r="A124" s="18">
        <f>+A118+1</f>
        <v>17</v>
      </c>
      <c r="C124" s="22" t="s">
        <v>47</v>
      </c>
    </row>
    <row r="125" spans="1:44" x14ac:dyDescent="0.3">
      <c r="C125" s="6" t="s">
        <v>7</v>
      </c>
      <c r="D125" s="9">
        <v>2569.58</v>
      </c>
      <c r="E125" s="9">
        <v>2569.58</v>
      </c>
      <c r="F125" s="9">
        <v>2569.58</v>
      </c>
      <c r="G125" s="9">
        <v>2569.58</v>
      </c>
      <c r="H125" s="9">
        <v>2569.58</v>
      </c>
      <c r="I125" s="9">
        <v>2569.58</v>
      </c>
      <c r="J125" s="9">
        <v>2481.25</v>
      </c>
      <c r="K125" s="9">
        <v>2481.25</v>
      </c>
      <c r="L125" s="9">
        <v>2481.25</v>
      </c>
      <c r="M125" s="9">
        <v>2481.25</v>
      </c>
      <c r="N125" s="9">
        <v>2481.25</v>
      </c>
      <c r="O125" s="9">
        <v>2481.25</v>
      </c>
      <c r="P125" s="10">
        <f>SUM(D125:O125)</f>
        <v>30304.98</v>
      </c>
      <c r="Q125" s="9">
        <v>2481.25</v>
      </c>
      <c r="R125" s="9">
        <v>2481.25</v>
      </c>
      <c r="S125" s="9">
        <v>2481.25</v>
      </c>
      <c r="T125" s="9">
        <v>2481.25</v>
      </c>
      <c r="U125" s="9">
        <v>2481.25</v>
      </c>
      <c r="V125" s="9">
        <v>2481.25</v>
      </c>
      <c r="W125" s="9">
        <v>2389.17</v>
      </c>
      <c r="X125" s="9">
        <v>2389.17</v>
      </c>
      <c r="Y125" s="9">
        <v>2389.17</v>
      </c>
      <c r="Z125" s="9">
        <v>2389.17</v>
      </c>
      <c r="AA125" s="9">
        <v>2389.17</v>
      </c>
      <c r="AB125" s="9">
        <v>2389.17</v>
      </c>
      <c r="AC125" s="10">
        <f>SUM(Q125:AB125)</f>
        <v>29222.51999999999</v>
      </c>
      <c r="AD125" s="9">
        <v>2389.17</v>
      </c>
      <c r="AE125" s="9">
        <v>2389.17</v>
      </c>
      <c r="AF125" s="9">
        <v>2389.17</v>
      </c>
      <c r="AG125" s="9">
        <v>2389.17</v>
      </c>
      <c r="AH125" s="9">
        <v>2389.17</v>
      </c>
      <c r="AI125" s="9">
        <v>2389.17</v>
      </c>
      <c r="AJ125" s="10">
        <v>2293.33</v>
      </c>
      <c r="AK125" s="10">
        <v>2293.33</v>
      </c>
      <c r="AL125" s="10">
        <v>2293.33</v>
      </c>
      <c r="AM125" s="10">
        <v>2293.33</v>
      </c>
      <c r="AN125" s="10">
        <v>2293.33</v>
      </c>
      <c r="AO125" s="55">
        <v>2293.33</v>
      </c>
      <c r="AP125" s="10">
        <f>SUM(AD125:AO125)</f>
        <v>28095.000000000007</v>
      </c>
    </row>
    <row r="126" spans="1:44" x14ac:dyDescent="0.3">
      <c r="C126" s="6" t="s">
        <v>8</v>
      </c>
      <c r="D126" s="9">
        <v>250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0">
        <f>SUM(D126:O126)</f>
        <v>250</v>
      </c>
      <c r="Q126" s="9">
        <v>250</v>
      </c>
      <c r="AC126" s="10">
        <f>SUM(Q126:AB126)</f>
        <v>250</v>
      </c>
      <c r="AD126" s="9">
        <v>250</v>
      </c>
      <c r="AE126" s="9"/>
      <c r="AF126" s="9"/>
      <c r="AG126" s="9"/>
      <c r="AH126" s="9"/>
      <c r="AI126" s="9"/>
      <c r="AJ126" s="9"/>
      <c r="AK126" s="9"/>
      <c r="AL126" s="9"/>
      <c r="AM126" s="9"/>
      <c r="AN126" s="23"/>
      <c r="AO126" s="56"/>
      <c r="AP126" s="10">
        <f>SUM(AD126:AO126)</f>
        <v>250</v>
      </c>
    </row>
    <row r="127" spans="1:44" ht="13.5" thickBot="1" x14ac:dyDescent="0.35">
      <c r="C127" s="6" t="s">
        <v>9</v>
      </c>
      <c r="D127" s="9">
        <f>88333.33+111464.58</f>
        <v>199797.91</v>
      </c>
      <c r="E127" s="9">
        <f>88333.33+111464.58</f>
        <v>199797.91</v>
      </c>
      <c r="F127" s="9">
        <f>88333.33+111464.58</f>
        <v>199797.91</v>
      </c>
      <c r="G127" s="9">
        <f>88333.33+111464.58</f>
        <v>199797.91</v>
      </c>
      <c r="H127" s="9">
        <f>88333.37+111464.6</f>
        <v>199797.97</v>
      </c>
      <c r="I127" s="9">
        <f>92083.33+107931.25</f>
        <v>200014.58000000002</v>
      </c>
      <c r="J127" s="9">
        <f t="shared" ref="J127:T127" si="86">92083.33+107931.25</f>
        <v>200014.58000000002</v>
      </c>
      <c r="K127" s="9">
        <f t="shared" si="86"/>
        <v>200014.58000000002</v>
      </c>
      <c r="L127" s="9">
        <f t="shared" si="86"/>
        <v>200014.58000000002</v>
      </c>
      <c r="M127" s="9">
        <f t="shared" si="86"/>
        <v>200014.58000000002</v>
      </c>
      <c r="N127" s="9">
        <f t="shared" si="86"/>
        <v>200014.58000000002</v>
      </c>
      <c r="O127" s="9">
        <f t="shared" si="86"/>
        <v>200014.58000000002</v>
      </c>
      <c r="P127" s="10">
        <f>SUM(D127:O127)</f>
        <v>2399091.6700000004</v>
      </c>
      <c r="Q127" s="9">
        <f t="shared" si="86"/>
        <v>200014.58000000002</v>
      </c>
      <c r="R127" s="9">
        <f t="shared" si="86"/>
        <v>200014.58000000002</v>
      </c>
      <c r="S127" s="9">
        <f t="shared" si="86"/>
        <v>200014.58000000002</v>
      </c>
      <c r="T127" s="9">
        <f t="shared" si="86"/>
        <v>200014.58000000002</v>
      </c>
      <c r="U127" s="9">
        <f>92083.37+107931.25</f>
        <v>200014.62</v>
      </c>
      <c r="V127" s="9">
        <f>95833.33+104247.92</f>
        <v>200081.25</v>
      </c>
      <c r="W127" s="9">
        <f t="shared" ref="W127:AG127" si="87">95833.33+104247.92</f>
        <v>200081.25</v>
      </c>
      <c r="X127" s="9">
        <f t="shared" si="87"/>
        <v>200081.25</v>
      </c>
      <c r="Y127" s="9">
        <f t="shared" si="87"/>
        <v>200081.25</v>
      </c>
      <c r="Z127" s="9">
        <f t="shared" si="87"/>
        <v>200081.25</v>
      </c>
      <c r="AA127" s="9">
        <f>95833.33+104247.9</f>
        <v>200081.22999999998</v>
      </c>
      <c r="AB127" s="9">
        <f t="shared" si="87"/>
        <v>200081.25</v>
      </c>
      <c r="AC127" s="10">
        <f>SUM(Q127:AB127)</f>
        <v>2400641.67</v>
      </c>
      <c r="AD127" s="9">
        <f t="shared" si="87"/>
        <v>200081.25</v>
      </c>
      <c r="AE127" s="9">
        <f t="shared" si="87"/>
        <v>200081.25</v>
      </c>
      <c r="AF127" s="9">
        <f t="shared" si="87"/>
        <v>200081.25</v>
      </c>
      <c r="AG127" s="9">
        <f t="shared" si="87"/>
        <v>200081.25</v>
      </c>
      <c r="AH127" s="9">
        <f>95833.37+104247.9</f>
        <v>200081.27</v>
      </c>
      <c r="AI127" s="10">
        <f>99583.33+100414.58</f>
        <v>199997.91</v>
      </c>
      <c r="AJ127" s="10">
        <f t="shared" ref="AJ127:AO127" si="88">99583.33+100414.58</f>
        <v>199997.91</v>
      </c>
      <c r="AK127" s="10">
        <f t="shared" si="88"/>
        <v>199997.91</v>
      </c>
      <c r="AL127" s="10">
        <f t="shared" si="88"/>
        <v>199997.91</v>
      </c>
      <c r="AM127" s="10">
        <f t="shared" si="88"/>
        <v>199997.91</v>
      </c>
      <c r="AN127" s="10">
        <f>99583.33+100414.6</f>
        <v>199997.93</v>
      </c>
      <c r="AO127" s="55">
        <f t="shared" si="88"/>
        <v>199997.91</v>
      </c>
      <c r="AP127" s="10">
        <f>SUM(AD127:AO127)</f>
        <v>2400391.6599999997</v>
      </c>
      <c r="AR127" s="33"/>
    </row>
    <row r="128" spans="1:44" ht="13.5" thickBot="1" x14ac:dyDescent="0.35">
      <c r="C128" s="11" t="s">
        <v>48</v>
      </c>
      <c r="D128" s="12">
        <f t="shared" ref="D128:O128" si="89">SUM(D125:D127)</f>
        <v>202617.49</v>
      </c>
      <c r="E128" s="12">
        <f t="shared" si="89"/>
        <v>202367.49</v>
      </c>
      <c r="F128" s="12">
        <f t="shared" si="89"/>
        <v>202367.49</v>
      </c>
      <c r="G128" s="12">
        <f t="shared" si="89"/>
        <v>202367.49</v>
      </c>
      <c r="H128" s="12">
        <f t="shared" si="89"/>
        <v>202367.55</v>
      </c>
      <c r="I128" s="12">
        <f t="shared" si="89"/>
        <v>202584.16</v>
      </c>
      <c r="J128" s="12">
        <f t="shared" si="89"/>
        <v>202495.83000000002</v>
      </c>
      <c r="K128" s="12">
        <f t="shared" si="89"/>
        <v>202495.83000000002</v>
      </c>
      <c r="L128" s="12">
        <f t="shared" si="89"/>
        <v>202495.83000000002</v>
      </c>
      <c r="M128" s="12">
        <f t="shared" si="89"/>
        <v>202495.83000000002</v>
      </c>
      <c r="N128" s="12">
        <f t="shared" si="89"/>
        <v>202495.83000000002</v>
      </c>
      <c r="O128" s="12">
        <f t="shared" si="89"/>
        <v>202495.83000000002</v>
      </c>
      <c r="P128" s="12">
        <f>SUM(P125:P127)</f>
        <v>2429646.6500000004</v>
      </c>
      <c r="Q128" s="12">
        <f t="shared" ref="Q128:AB128" si="90">SUM(Q125:Q127)</f>
        <v>202745.83000000002</v>
      </c>
      <c r="R128" s="12">
        <f t="shared" si="90"/>
        <v>202495.83000000002</v>
      </c>
      <c r="S128" s="12">
        <f t="shared" si="90"/>
        <v>202495.83000000002</v>
      </c>
      <c r="T128" s="12">
        <f t="shared" si="90"/>
        <v>202495.83000000002</v>
      </c>
      <c r="U128" s="12">
        <f t="shared" si="90"/>
        <v>202495.87</v>
      </c>
      <c r="V128" s="12">
        <f t="shared" si="90"/>
        <v>202562.5</v>
      </c>
      <c r="W128" s="12">
        <f t="shared" si="90"/>
        <v>202470.42</v>
      </c>
      <c r="X128" s="12">
        <f t="shared" si="90"/>
        <v>202470.42</v>
      </c>
      <c r="Y128" s="12">
        <f t="shared" si="90"/>
        <v>202470.42</v>
      </c>
      <c r="Z128" s="12">
        <f t="shared" si="90"/>
        <v>202470.42</v>
      </c>
      <c r="AA128" s="12">
        <f t="shared" si="90"/>
        <v>202470.39999999999</v>
      </c>
      <c r="AB128" s="12">
        <f t="shared" si="90"/>
        <v>202470.42</v>
      </c>
      <c r="AC128" s="12">
        <f>SUM(AC125:AC127)</f>
        <v>2430114.19</v>
      </c>
      <c r="AD128" s="12">
        <f>SUM(AD125:AD127)</f>
        <v>202720.42</v>
      </c>
      <c r="AE128" s="12">
        <f>SUM(AE125:AE127)</f>
        <v>202470.42</v>
      </c>
      <c r="AF128" s="12">
        <f t="shared" ref="AF128:AO128" si="91">SUM(AF125:AF127)</f>
        <v>202470.42</v>
      </c>
      <c r="AG128" s="12">
        <f t="shared" si="91"/>
        <v>202470.42</v>
      </c>
      <c r="AH128" s="12">
        <f t="shared" si="91"/>
        <v>202470.44</v>
      </c>
      <c r="AI128" s="12">
        <f t="shared" si="91"/>
        <v>202387.08000000002</v>
      </c>
      <c r="AJ128" s="12">
        <f t="shared" si="91"/>
        <v>202291.24</v>
      </c>
      <c r="AK128" s="12">
        <f t="shared" si="91"/>
        <v>202291.24</v>
      </c>
      <c r="AL128" s="12">
        <f t="shared" si="91"/>
        <v>202291.24</v>
      </c>
      <c r="AM128" s="12">
        <f t="shared" si="91"/>
        <v>202291.24</v>
      </c>
      <c r="AN128" s="12">
        <f t="shared" si="91"/>
        <v>202291.25999999998</v>
      </c>
      <c r="AO128" s="57">
        <f t="shared" si="91"/>
        <v>202291.24</v>
      </c>
      <c r="AP128" s="12">
        <f>SUM(AP125:AP127)</f>
        <v>2428736.6599999997</v>
      </c>
    </row>
    <row r="129" spans="1:44" x14ac:dyDescent="0.3">
      <c r="C129" s="13"/>
    </row>
    <row r="130" spans="1:44" ht="15.5" x14ac:dyDescent="0.35">
      <c r="A130" s="18">
        <f>+A124+1</f>
        <v>18</v>
      </c>
      <c r="C130" s="22" t="s">
        <v>49</v>
      </c>
    </row>
    <row r="131" spans="1:44" x14ac:dyDescent="0.3">
      <c r="C131" s="6" t="s">
        <v>7</v>
      </c>
      <c r="D131" s="9">
        <v>429.17</v>
      </c>
      <c r="E131" s="9">
        <v>429.17</v>
      </c>
      <c r="F131" s="9">
        <v>429.17</v>
      </c>
      <c r="G131" s="9">
        <v>429.17</v>
      </c>
      <c r="H131" s="9">
        <v>418.33</v>
      </c>
      <c r="I131" s="9">
        <v>418.33</v>
      </c>
      <c r="J131" s="9">
        <v>418.33</v>
      </c>
      <c r="K131" s="9">
        <v>418.33</v>
      </c>
      <c r="L131" s="9">
        <v>418.33</v>
      </c>
      <c r="M131" s="9">
        <v>418.33</v>
      </c>
      <c r="N131" s="9">
        <v>418.33</v>
      </c>
      <c r="O131" s="9">
        <v>418.33</v>
      </c>
      <c r="P131" s="10">
        <f>SUM(D131:O131)</f>
        <v>5063.32</v>
      </c>
      <c r="Q131" s="9">
        <v>418.33</v>
      </c>
      <c r="R131" s="9">
        <v>418.33</v>
      </c>
      <c r="S131" s="9">
        <v>418.33</v>
      </c>
      <c r="T131" s="9">
        <v>418.33</v>
      </c>
      <c r="U131" s="9">
        <v>407.08</v>
      </c>
      <c r="V131" s="9">
        <v>407.08</v>
      </c>
      <c r="W131" s="9">
        <v>407.08</v>
      </c>
      <c r="X131" s="9">
        <v>407.08</v>
      </c>
      <c r="Y131" s="9">
        <v>407.08</v>
      </c>
      <c r="Z131" s="9">
        <v>407.08</v>
      </c>
      <c r="AA131" s="9">
        <v>407.08</v>
      </c>
      <c r="AB131" s="9">
        <v>407.08</v>
      </c>
      <c r="AC131" s="10">
        <f>SUM(Q131:AB131)</f>
        <v>4929.96</v>
      </c>
      <c r="AD131" s="9">
        <v>407.08</v>
      </c>
      <c r="AE131" s="9">
        <v>407.08</v>
      </c>
      <c r="AF131" s="9">
        <v>407.08</v>
      </c>
      <c r="AG131" s="9">
        <v>407.08</v>
      </c>
      <c r="AH131" s="10">
        <v>395.42</v>
      </c>
      <c r="AI131" s="10">
        <v>395.42</v>
      </c>
      <c r="AJ131" s="10">
        <v>395.42</v>
      </c>
      <c r="AK131" s="10">
        <v>395.42</v>
      </c>
      <c r="AL131" s="10">
        <v>395.42</v>
      </c>
      <c r="AM131" s="10">
        <v>395.42</v>
      </c>
      <c r="AN131" s="10">
        <v>395.42</v>
      </c>
      <c r="AO131" s="55">
        <v>395.42</v>
      </c>
      <c r="AP131" s="10">
        <f>SUM(AD131:AO131)</f>
        <v>4791.68</v>
      </c>
    </row>
    <row r="132" spans="1:44" x14ac:dyDescent="0.3">
      <c r="C132" s="6" t="s">
        <v>8</v>
      </c>
      <c r="D132" s="9">
        <v>250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0">
        <f>SUM(D132:O132)</f>
        <v>250</v>
      </c>
      <c r="Q132" s="9">
        <v>250</v>
      </c>
      <c r="AC132" s="10">
        <f>SUM(Q132:AB132)</f>
        <v>250</v>
      </c>
      <c r="AD132" s="9">
        <v>250</v>
      </c>
      <c r="AE132" s="9"/>
      <c r="AF132" s="9"/>
      <c r="AG132" s="9"/>
      <c r="AH132" s="9"/>
      <c r="AI132" s="9"/>
      <c r="AJ132" s="9"/>
      <c r="AK132" s="9"/>
      <c r="AL132" s="9"/>
      <c r="AM132" s="9"/>
      <c r="AN132" s="23"/>
      <c r="AO132" s="56"/>
      <c r="AP132" s="10">
        <f>SUM(AD132:AO132)</f>
        <v>250</v>
      </c>
    </row>
    <row r="133" spans="1:44" ht="13.5" thickBot="1" x14ac:dyDescent="0.35">
      <c r="C133" s="6" t="s">
        <v>9</v>
      </c>
      <c r="D133" s="9">
        <f>10833.33+17510.42</f>
        <v>28343.75</v>
      </c>
      <c r="E133" s="9">
        <f>11250+17077.08</f>
        <v>28327.08</v>
      </c>
      <c r="F133" s="9">
        <f t="shared" ref="F133:Q133" si="92">11250+17077.08</f>
        <v>28327.08</v>
      </c>
      <c r="G133" s="9">
        <f t="shared" si="92"/>
        <v>28327.08</v>
      </c>
      <c r="H133" s="9">
        <f t="shared" si="92"/>
        <v>28327.08</v>
      </c>
      <c r="I133" s="9">
        <f t="shared" si="92"/>
        <v>28327.08</v>
      </c>
      <c r="J133" s="9">
        <f t="shared" si="92"/>
        <v>28327.08</v>
      </c>
      <c r="K133" s="9">
        <f t="shared" si="92"/>
        <v>28327.08</v>
      </c>
      <c r="L133" s="9">
        <f t="shared" si="92"/>
        <v>28327.08</v>
      </c>
      <c r="M133" s="9">
        <f t="shared" si="92"/>
        <v>28327.08</v>
      </c>
      <c r="N133" s="9">
        <f t="shared" si="92"/>
        <v>28327.08</v>
      </c>
      <c r="O133" s="9">
        <f t="shared" si="92"/>
        <v>28327.08</v>
      </c>
      <c r="P133" s="10">
        <f>SUM(D133:O133)</f>
        <v>339941.63000000012</v>
      </c>
      <c r="Q133" s="9">
        <f t="shared" si="92"/>
        <v>28327.08</v>
      </c>
      <c r="R133" s="9">
        <f>11666.67+16627.08</f>
        <v>28293.75</v>
      </c>
      <c r="S133" s="9">
        <f t="shared" ref="S133:AD133" si="93">11666.67+16627.08</f>
        <v>28293.75</v>
      </c>
      <c r="T133" s="9">
        <f t="shared" si="93"/>
        <v>28293.75</v>
      </c>
      <c r="U133" s="9">
        <f t="shared" si="93"/>
        <v>28293.75</v>
      </c>
      <c r="V133" s="9">
        <f t="shared" si="93"/>
        <v>28293.75</v>
      </c>
      <c r="W133" s="9">
        <f t="shared" si="93"/>
        <v>28293.75</v>
      </c>
      <c r="X133" s="9">
        <f t="shared" si="93"/>
        <v>28293.75</v>
      </c>
      <c r="Y133" s="9">
        <f t="shared" si="93"/>
        <v>28293.75</v>
      </c>
      <c r="Z133" s="9">
        <f t="shared" si="93"/>
        <v>28293.75</v>
      </c>
      <c r="AA133" s="9">
        <f t="shared" si="93"/>
        <v>28293.75</v>
      </c>
      <c r="AB133" s="9">
        <f t="shared" si="93"/>
        <v>28293.75</v>
      </c>
      <c r="AC133" s="10">
        <f>SUM(Q133:AB133)</f>
        <v>339558.33</v>
      </c>
      <c r="AD133" s="9">
        <f t="shared" si="93"/>
        <v>28293.75</v>
      </c>
      <c r="AE133" s="10">
        <f>12500+16160.42</f>
        <v>28660.42</v>
      </c>
      <c r="AF133" s="10">
        <f t="shared" ref="AF133:AO133" si="94">12500+16160.42</f>
        <v>28660.42</v>
      </c>
      <c r="AG133" s="10">
        <f t="shared" si="94"/>
        <v>28660.42</v>
      </c>
      <c r="AH133" s="10">
        <f t="shared" si="94"/>
        <v>28660.42</v>
      </c>
      <c r="AI133" s="10">
        <f t="shared" si="94"/>
        <v>28660.42</v>
      </c>
      <c r="AJ133" s="10">
        <f t="shared" si="94"/>
        <v>28660.42</v>
      </c>
      <c r="AK133" s="10">
        <f t="shared" si="94"/>
        <v>28660.42</v>
      </c>
      <c r="AL133" s="10">
        <f t="shared" si="94"/>
        <v>28660.42</v>
      </c>
      <c r="AM133" s="10">
        <f t="shared" si="94"/>
        <v>28660.42</v>
      </c>
      <c r="AN133" s="10">
        <f t="shared" si="94"/>
        <v>28660.42</v>
      </c>
      <c r="AO133" s="55">
        <f t="shared" si="94"/>
        <v>28660.42</v>
      </c>
      <c r="AP133" s="10">
        <f>SUM(AD133:AO133)</f>
        <v>343558.36999999988</v>
      </c>
      <c r="AR133" s="33"/>
    </row>
    <row r="134" spans="1:44" ht="13.5" thickBot="1" x14ac:dyDescent="0.35">
      <c r="C134" s="11" t="s">
        <v>50</v>
      </c>
      <c r="D134" s="12">
        <f t="shared" ref="D134:O134" si="95">SUM(D131:D133)</f>
        <v>29022.92</v>
      </c>
      <c r="E134" s="12">
        <f t="shared" si="95"/>
        <v>28756.25</v>
      </c>
      <c r="F134" s="12">
        <f t="shared" si="95"/>
        <v>28756.25</v>
      </c>
      <c r="G134" s="12">
        <f t="shared" si="95"/>
        <v>28756.25</v>
      </c>
      <c r="H134" s="12">
        <f t="shared" si="95"/>
        <v>28745.410000000003</v>
      </c>
      <c r="I134" s="12">
        <f t="shared" si="95"/>
        <v>28745.410000000003</v>
      </c>
      <c r="J134" s="12">
        <f t="shared" si="95"/>
        <v>28745.410000000003</v>
      </c>
      <c r="K134" s="12">
        <f t="shared" si="95"/>
        <v>28745.410000000003</v>
      </c>
      <c r="L134" s="12">
        <f t="shared" si="95"/>
        <v>28745.410000000003</v>
      </c>
      <c r="M134" s="12">
        <f t="shared" si="95"/>
        <v>28745.410000000003</v>
      </c>
      <c r="N134" s="12">
        <f t="shared" si="95"/>
        <v>28745.410000000003</v>
      </c>
      <c r="O134" s="12">
        <f t="shared" si="95"/>
        <v>28745.410000000003</v>
      </c>
      <c r="P134" s="12">
        <f>SUM(P131:P133)</f>
        <v>345254.95000000013</v>
      </c>
      <c r="Q134" s="12">
        <f t="shared" ref="Q134:AB134" si="96">SUM(Q131:Q133)</f>
        <v>28995.410000000003</v>
      </c>
      <c r="R134" s="12">
        <f t="shared" si="96"/>
        <v>28712.080000000002</v>
      </c>
      <c r="S134" s="12">
        <f t="shared" si="96"/>
        <v>28712.080000000002</v>
      </c>
      <c r="T134" s="12">
        <f t="shared" si="96"/>
        <v>28712.080000000002</v>
      </c>
      <c r="U134" s="12">
        <f t="shared" si="96"/>
        <v>28700.83</v>
      </c>
      <c r="V134" s="12">
        <f t="shared" si="96"/>
        <v>28700.83</v>
      </c>
      <c r="W134" s="12">
        <f t="shared" si="96"/>
        <v>28700.83</v>
      </c>
      <c r="X134" s="12">
        <f t="shared" si="96"/>
        <v>28700.83</v>
      </c>
      <c r="Y134" s="12">
        <f t="shared" si="96"/>
        <v>28700.83</v>
      </c>
      <c r="Z134" s="12">
        <f t="shared" si="96"/>
        <v>28700.83</v>
      </c>
      <c r="AA134" s="12">
        <f t="shared" si="96"/>
        <v>28700.83</v>
      </c>
      <c r="AB134" s="12">
        <f t="shared" si="96"/>
        <v>28700.83</v>
      </c>
      <c r="AC134" s="12">
        <f>SUM(AC131:AC133)</f>
        <v>344738.29000000004</v>
      </c>
      <c r="AD134" s="12">
        <f>SUM(AD131:AD133)</f>
        <v>28950.83</v>
      </c>
      <c r="AE134" s="12">
        <f>SUM(AE131:AE133)</f>
        <v>29067.5</v>
      </c>
      <c r="AF134" s="12">
        <f t="shared" ref="AF134:AO134" si="97">SUM(AF131:AF133)</f>
        <v>29067.5</v>
      </c>
      <c r="AG134" s="12">
        <f t="shared" si="97"/>
        <v>29067.5</v>
      </c>
      <c r="AH134" s="12">
        <f t="shared" si="97"/>
        <v>29055.839999999997</v>
      </c>
      <c r="AI134" s="12">
        <f t="shared" si="97"/>
        <v>29055.839999999997</v>
      </c>
      <c r="AJ134" s="12">
        <f t="shared" si="97"/>
        <v>29055.839999999997</v>
      </c>
      <c r="AK134" s="12">
        <f t="shared" si="97"/>
        <v>29055.839999999997</v>
      </c>
      <c r="AL134" s="12">
        <f t="shared" si="97"/>
        <v>29055.839999999997</v>
      </c>
      <c r="AM134" s="12">
        <f t="shared" si="97"/>
        <v>29055.839999999997</v>
      </c>
      <c r="AN134" s="12">
        <f t="shared" si="97"/>
        <v>29055.839999999997</v>
      </c>
      <c r="AO134" s="57">
        <f t="shared" si="97"/>
        <v>29055.839999999997</v>
      </c>
      <c r="AP134" s="12">
        <f>SUM(AP131:AP133)</f>
        <v>348600.04999999987</v>
      </c>
    </row>
    <row r="135" spans="1:44" x14ac:dyDescent="0.3">
      <c r="C135" s="13"/>
    </row>
    <row r="136" spans="1:44" ht="15.5" x14ac:dyDescent="0.35">
      <c r="A136" s="18">
        <f>+A130+1</f>
        <v>19</v>
      </c>
      <c r="C136" s="22" t="s">
        <v>51</v>
      </c>
    </row>
    <row r="137" spans="1:44" x14ac:dyDescent="0.3">
      <c r="C137" s="6" t="s">
        <v>7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f>SUM(D137:O137)</f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f>SUM(Q137:AB137)</f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55">
        <v>0</v>
      </c>
      <c r="AP137" s="10">
        <f>SUM(AD137:AO137)</f>
        <v>0</v>
      </c>
    </row>
    <row r="138" spans="1:44" x14ac:dyDescent="0.3">
      <c r="C138" s="6" t="s">
        <v>8</v>
      </c>
      <c r="D138" s="9">
        <v>250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0">
        <f>SUM(D138:O138)</f>
        <v>250</v>
      </c>
      <c r="Q138" s="9">
        <v>250</v>
      </c>
      <c r="AC138" s="10">
        <f>SUM(Q138:AB138)</f>
        <v>250</v>
      </c>
      <c r="AD138" s="9">
        <v>250</v>
      </c>
      <c r="AE138" s="9"/>
      <c r="AF138" s="9"/>
      <c r="AG138" s="9"/>
      <c r="AH138" s="9"/>
      <c r="AI138" s="9"/>
      <c r="AJ138" s="9"/>
      <c r="AK138" s="9"/>
      <c r="AL138" s="9"/>
      <c r="AM138" s="9"/>
      <c r="AN138" s="23"/>
      <c r="AO138" s="56"/>
      <c r="AP138" s="10">
        <f>SUM(AD138:AO138)</f>
        <v>250</v>
      </c>
    </row>
    <row r="139" spans="1:44" ht="13.5" thickBot="1" x14ac:dyDescent="0.35">
      <c r="C139" s="6" t="s">
        <v>9</v>
      </c>
      <c r="D139" s="9">
        <v>73884.899999999994</v>
      </c>
      <c r="E139" s="9">
        <v>73884.899999999994</v>
      </c>
      <c r="F139" s="9">
        <v>73884.899999999994</v>
      </c>
      <c r="G139" s="9">
        <v>73884.899999999994</v>
      </c>
      <c r="H139" s="15">
        <v>73591.56</v>
      </c>
      <c r="I139" s="15">
        <f>20000+53951.56+360</f>
        <v>74311.56</v>
      </c>
      <c r="J139" s="9">
        <f t="shared" ref="J139:T139" si="98">20000+53951.56</f>
        <v>73951.56</v>
      </c>
      <c r="K139" s="9">
        <f t="shared" si="98"/>
        <v>73951.56</v>
      </c>
      <c r="L139" s="9">
        <f t="shared" si="98"/>
        <v>73951.56</v>
      </c>
      <c r="M139" s="9">
        <f t="shared" si="98"/>
        <v>73951.56</v>
      </c>
      <c r="N139" s="9">
        <f t="shared" si="98"/>
        <v>73951.56</v>
      </c>
      <c r="O139" s="9">
        <f t="shared" si="98"/>
        <v>73951.56</v>
      </c>
      <c r="P139" s="10">
        <f>SUM(D139:O139)</f>
        <v>887152.08000000007</v>
      </c>
      <c r="Q139" s="9">
        <f t="shared" si="98"/>
        <v>73951.56</v>
      </c>
      <c r="R139" s="9">
        <f t="shared" si="98"/>
        <v>73951.56</v>
      </c>
      <c r="S139" s="9">
        <f t="shared" si="98"/>
        <v>73951.56</v>
      </c>
      <c r="T139" s="9">
        <f t="shared" si="98"/>
        <v>73951.56</v>
      </c>
      <c r="U139" s="9">
        <v>73984.899999999994</v>
      </c>
      <c r="V139" s="9">
        <v>73984.899999999994</v>
      </c>
      <c r="W139" s="9">
        <v>73984.899999999994</v>
      </c>
      <c r="X139" s="9">
        <v>73984.899999999994</v>
      </c>
      <c r="Y139" s="9">
        <v>73984.899999999994</v>
      </c>
      <c r="Z139" s="9">
        <v>73984.899999999994</v>
      </c>
      <c r="AA139" s="9">
        <v>73984.899999999994</v>
      </c>
      <c r="AB139" s="9">
        <v>73984.899999999994</v>
      </c>
      <c r="AC139" s="10">
        <f>SUM(Q139:AB139)</f>
        <v>887685.44000000018</v>
      </c>
      <c r="AD139" s="9">
        <v>73984.899999999994</v>
      </c>
      <c r="AE139" s="9">
        <v>73984.899999999994</v>
      </c>
      <c r="AF139" s="9">
        <v>73984.899999999994</v>
      </c>
      <c r="AG139" s="9">
        <v>73984.899999999994</v>
      </c>
      <c r="AH139" s="9">
        <v>73984.899999999994</v>
      </c>
      <c r="AI139" s="9">
        <v>73984.899999999994</v>
      </c>
      <c r="AJ139" s="9">
        <v>73984.899999999994</v>
      </c>
      <c r="AK139" s="9">
        <v>73984.899999999994</v>
      </c>
      <c r="AL139" s="9">
        <v>73984.899999999994</v>
      </c>
      <c r="AM139" s="9">
        <v>73984.899999999994</v>
      </c>
      <c r="AN139" s="23">
        <v>73984.899999999994</v>
      </c>
      <c r="AO139" s="56">
        <v>73984.899999999994</v>
      </c>
      <c r="AP139" s="10">
        <f>SUM(AD139:AO139)</f>
        <v>887818.80000000016</v>
      </c>
      <c r="AR139" s="33"/>
    </row>
    <row r="140" spans="1:44" ht="13.5" thickBot="1" x14ac:dyDescent="0.35">
      <c r="C140" s="11" t="s">
        <v>52</v>
      </c>
      <c r="D140" s="12">
        <f t="shared" ref="D140:O140" si="99">SUM(D137:D139)</f>
        <v>74134.899999999994</v>
      </c>
      <c r="E140" s="12">
        <f t="shared" si="99"/>
        <v>73884.899999999994</v>
      </c>
      <c r="F140" s="12">
        <f t="shared" si="99"/>
        <v>73884.899999999994</v>
      </c>
      <c r="G140" s="12">
        <f t="shared" si="99"/>
        <v>73884.899999999994</v>
      </c>
      <c r="H140" s="12">
        <f t="shared" si="99"/>
        <v>73591.56</v>
      </c>
      <c r="I140" s="12">
        <f t="shared" si="99"/>
        <v>74311.56</v>
      </c>
      <c r="J140" s="12">
        <f t="shared" si="99"/>
        <v>73951.56</v>
      </c>
      <c r="K140" s="12">
        <f t="shared" si="99"/>
        <v>73951.56</v>
      </c>
      <c r="L140" s="12">
        <f t="shared" si="99"/>
        <v>73951.56</v>
      </c>
      <c r="M140" s="12">
        <f t="shared" si="99"/>
        <v>73951.56</v>
      </c>
      <c r="N140" s="12">
        <f t="shared" si="99"/>
        <v>73951.56</v>
      </c>
      <c r="O140" s="12">
        <f t="shared" si="99"/>
        <v>73951.56</v>
      </c>
      <c r="P140" s="12">
        <f>SUM(P137:P139)</f>
        <v>887402.08000000007</v>
      </c>
      <c r="Q140" s="12">
        <f t="shared" ref="Q140:AB140" si="100">SUM(Q137:Q139)</f>
        <v>74201.56</v>
      </c>
      <c r="R140" s="12">
        <f t="shared" si="100"/>
        <v>73951.56</v>
      </c>
      <c r="S140" s="12">
        <f t="shared" si="100"/>
        <v>73951.56</v>
      </c>
      <c r="T140" s="12">
        <f t="shared" si="100"/>
        <v>73951.56</v>
      </c>
      <c r="U140" s="12">
        <f t="shared" si="100"/>
        <v>73984.899999999994</v>
      </c>
      <c r="V140" s="12">
        <f t="shared" si="100"/>
        <v>73984.899999999994</v>
      </c>
      <c r="W140" s="12">
        <f t="shared" si="100"/>
        <v>73984.899999999994</v>
      </c>
      <c r="X140" s="12">
        <f t="shared" si="100"/>
        <v>73984.899999999994</v>
      </c>
      <c r="Y140" s="12">
        <f t="shared" si="100"/>
        <v>73984.899999999994</v>
      </c>
      <c r="Z140" s="12">
        <f t="shared" si="100"/>
        <v>73984.899999999994</v>
      </c>
      <c r="AA140" s="12">
        <f t="shared" si="100"/>
        <v>73984.899999999994</v>
      </c>
      <c r="AB140" s="12">
        <f t="shared" si="100"/>
        <v>73984.899999999994</v>
      </c>
      <c r="AC140" s="12">
        <f>SUM(AC137:AC139)</f>
        <v>887935.44000000018</v>
      </c>
      <c r="AD140" s="12">
        <f>SUM(AD137:AD139)</f>
        <v>74234.899999999994</v>
      </c>
      <c r="AE140" s="12">
        <f>SUM(AE137:AE139)</f>
        <v>73984.899999999994</v>
      </c>
      <c r="AF140" s="12">
        <f t="shared" ref="AF140:AO140" si="101">SUM(AF137:AF139)</f>
        <v>73984.899999999994</v>
      </c>
      <c r="AG140" s="12">
        <f t="shared" si="101"/>
        <v>73984.899999999994</v>
      </c>
      <c r="AH140" s="12">
        <f t="shared" si="101"/>
        <v>73984.899999999994</v>
      </c>
      <c r="AI140" s="12">
        <f t="shared" si="101"/>
        <v>73984.899999999994</v>
      </c>
      <c r="AJ140" s="12">
        <f t="shared" si="101"/>
        <v>73984.899999999994</v>
      </c>
      <c r="AK140" s="12">
        <f t="shared" si="101"/>
        <v>73984.899999999994</v>
      </c>
      <c r="AL140" s="12">
        <f t="shared" si="101"/>
        <v>73984.899999999994</v>
      </c>
      <c r="AM140" s="12">
        <f t="shared" si="101"/>
        <v>73984.899999999994</v>
      </c>
      <c r="AN140" s="12">
        <f t="shared" si="101"/>
        <v>73984.899999999994</v>
      </c>
      <c r="AO140" s="57">
        <f t="shared" si="101"/>
        <v>73984.899999999994</v>
      </c>
      <c r="AP140" s="12">
        <f>SUM(AP137:AP139)</f>
        <v>888068.80000000016</v>
      </c>
    </row>
    <row r="141" spans="1:44" x14ac:dyDescent="0.3">
      <c r="C141" s="13"/>
    </row>
    <row r="142" spans="1:44" ht="15.5" x14ac:dyDescent="0.35">
      <c r="A142" s="18"/>
      <c r="B142" s="25" t="s">
        <v>5</v>
      </c>
      <c r="C142" s="8" t="s">
        <v>53</v>
      </c>
    </row>
    <row r="143" spans="1:44" x14ac:dyDescent="0.3">
      <c r="C143" s="6" t="s">
        <v>7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/>
      <c r="K143" s="10"/>
      <c r="L143" s="10"/>
      <c r="M143" s="10"/>
      <c r="N143" s="10"/>
      <c r="O143" s="10"/>
      <c r="P143" s="10">
        <f>SUM(D143:O143)</f>
        <v>0</v>
      </c>
    </row>
    <row r="144" spans="1:44" x14ac:dyDescent="0.3">
      <c r="C144" s="6" t="s">
        <v>8</v>
      </c>
      <c r="D144" s="9">
        <v>250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0">
        <f>SUM(D144:O144)</f>
        <v>250</v>
      </c>
    </row>
    <row r="145" spans="1:44" ht="13.5" thickBot="1" x14ac:dyDescent="0.35">
      <c r="C145" s="6" t="s">
        <v>9</v>
      </c>
      <c r="D145" s="9">
        <f>10416.67+33333.17</f>
        <v>43749.84</v>
      </c>
      <c r="E145" s="9">
        <f>10416.67+33333.17</f>
        <v>43749.84</v>
      </c>
      <c r="F145" s="9">
        <f>10416.67+33333.17</f>
        <v>43749.84</v>
      </c>
      <c r="G145" s="9">
        <f>10416.67+33333.17</f>
        <v>43749.84</v>
      </c>
      <c r="H145" s="9">
        <f>10416.63+33333.15</f>
        <v>43749.78</v>
      </c>
      <c r="I145" s="9">
        <f>10833.33+32763.38</f>
        <v>43596.71</v>
      </c>
      <c r="J145" s="9"/>
      <c r="K145" s="9"/>
      <c r="L145" s="9"/>
      <c r="M145" s="9"/>
      <c r="N145" s="9"/>
      <c r="O145" s="9"/>
      <c r="P145" s="10">
        <f>SUM(D145:O145)</f>
        <v>262345.84999999998</v>
      </c>
    </row>
    <row r="146" spans="1:44" ht="13.5" thickBot="1" x14ac:dyDescent="0.35">
      <c r="C146" s="11" t="s">
        <v>20</v>
      </c>
      <c r="D146" s="12">
        <f t="shared" ref="D146:O146" si="102">SUM(D143:D145)</f>
        <v>43999.839999999997</v>
      </c>
      <c r="E146" s="12">
        <f t="shared" si="102"/>
        <v>43749.84</v>
      </c>
      <c r="F146" s="12">
        <f t="shared" si="102"/>
        <v>43749.84</v>
      </c>
      <c r="G146" s="12">
        <f t="shared" si="102"/>
        <v>43749.84</v>
      </c>
      <c r="H146" s="12">
        <f t="shared" si="102"/>
        <v>43749.78</v>
      </c>
      <c r="I146" s="12">
        <f t="shared" si="102"/>
        <v>43596.71</v>
      </c>
      <c r="J146" s="12">
        <f t="shared" si="102"/>
        <v>0</v>
      </c>
      <c r="K146" s="12">
        <f t="shared" si="102"/>
        <v>0</v>
      </c>
      <c r="L146" s="12">
        <f t="shared" si="102"/>
        <v>0</v>
      </c>
      <c r="M146" s="12">
        <f t="shared" si="102"/>
        <v>0</v>
      </c>
      <c r="N146" s="12">
        <f t="shared" si="102"/>
        <v>0</v>
      </c>
      <c r="O146" s="12">
        <f t="shared" si="102"/>
        <v>0</v>
      </c>
      <c r="P146" s="12">
        <f>SUM(P143:P145)</f>
        <v>262595.84999999998</v>
      </c>
    </row>
    <row r="147" spans="1:44" x14ac:dyDescent="0.3">
      <c r="C147" s="13"/>
    </row>
    <row r="148" spans="1:44" ht="15.5" x14ac:dyDescent="0.35">
      <c r="A148" s="18">
        <f>+A136+1</f>
        <v>20</v>
      </c>
      <c r="C148" s="22" t="s">
        <v>54</v>
      </c>
    </row>
    <row r="149" spans="1:44" x14ac:dyDescent="0.3">
      <c r="C149" s="6" t="s">
        <v>7</v>
      </c>
      <c r="D149" s="9">
        <v>1007.92</v>
      </c>
      <c r="E149" s="9">
        <v>1007.92</v>
      </c>
      <c r="F149" s="9">
        <v>1007.92</v>
      </c>
      <c r="G149" s="9">
        <v>1007.92</v>
      </c>
      <c r="H149" s="9">
        <v>1007.92</v>
      </c>
      <c r="I149" s="9">
        <v>1007.92</v>
      </c>
      <c r="J149" s="9">
        <v>971.67</v>
      </c>
      <c r="K149" s="9">
        <v>971.67</v>
      </c>
      <c r="L149" s="9">
        <v>971.67</v>
      </c>
      <c r="M149" s="9">
        <v>971.67</v>
      </c>
      <c r="N149" s="9">
        <v>971.67</v>
      </c>
      <c r="O149" s="9">
        <v>971.67</v>
      </c>
      <c r="P149" s="10">
        <f>SUM(D149:O149)</f>
        <v>11877.539999999999</v>
      </c>
      <c r="Q149" s="9">
        <v>971.67</v>
      </c>
      <c r="R149" s="9">
        <v>971.67</v>
      </c>
      <c r="S149" s="9">
        <v>971.67</v>
      </c>
      <c r="T149" s="9">
        <v>971.67</v>
      </c>
      <c r="U149" s="9">
        <v>971.67</v>
      </c>
      <c r="V149" s="9">
        <v>971.67</v>
      </c>
      <c r="W149" s="9">
        <v>934.17</v>
      </c>
      <c r="X149" s="9">
        <v>934.17</v>
      </c>
      <c r="Y149" s="9">
        <v>934.17</v>
      </c>
      <c r="Z149" s="9">
        <v>934.17</v>
      </c>
      <c r="AA149" s="9">
        <v>934.17</v>
      </c>
      <c r="AB149" s="9">
        <v>934.17</v>
      </c>
      <c r="AC149" s="10">
        <f>SUM(Q149:AB149)</f>
        <v>11435.039999999999</v>
      </c>
      <c r="AD149" s="9">
        <v>934.17</v>
      </c>
      <c r="AE149" s="9">
        <v>934.17</v>
      </c>
      <c r="AF149" s="9">
        <v>934.17</v>
      </c>
      <c r="AG149" s="9">
        <v>934.17</v>
      </c>
      <c r="AH149" s="9">
        <v>934.17</v>
      </c>
      <c r="AI149" s="9">
        <v>934.17</v>
      </c>
      <c r="AJ149" s="10">
        <v>895</v>
      </c>
      <c r="AK149" s="10">
        <v>895</v>
      </c>
      <c r="AL149" s="10">
        <v>895</v>
      </c>
      <c r="AM149" s="10">
        <v>895</v>
      </c>
      <c r="AN149" s="10">
        <v>895</v>
      </c>
      <c r="AO149" s="55">
        <v>895</v>
      </c>
      <c r="AP149" s="10">
        <f>SUM(AD149:AO149)</f>
        <v>10975.02</v>
      </c>
    </row>
    <row r="150" spans="1:44" x14ac:dyDescent="0.3">
      <c r="C150" s="6" t="s">
        <v>8</v>
      </c>
      <c r="D150" s="9">
        <v>250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0">
        <f>SUM(D150:O150)</f>
        <v>250</v>
      </c>
      <c r="Q150" s="9">
        <v>250</v>
      </c>
      <c r="AC150" s="10">
        <f>SUM(Q150:AB150)</f>
        <v>250</v>
      </c>
      <c r="AD150" s="9">
        <v>250</v>
      </c>
      <c r="AE150" s="9"/>
      <c r="AF150" s="9"/>
      <c r="AG150" s="9"/>
      <c r="AH150" s="9"/>
      <c r="AI150" s="9"/>
      <c r="AJ150" s="9"/>
      <c r="AK150" s="9"/>
      <c r="AL150" s="9"/>
      <c r="AM150" s="9"/>
      <c r="AN150" s="23"/>
      <c r="AO150" s="56"/>
      <c r="AP150" s="10">
        <f>SUM(AD150:AO150)</f>
        <v>250</v>
      </c>
    </row>
    <row r="151" spans="1:44" ht="13.5" thickBot="1" x14ac:dyDescent="0.35">
      <c r="C151" s="6" t="s">
        <v>9</v>
      </c>
      <c r="D151" s="9">
        <f>36250+41361.46</f>
        <v>77611.459999999992</v>
      </c>
      <c r="E151" s="9">
        <f>36250+41361.46</f>
        <v>77611.459999999992</v>
      </c>
      <c r="F151" s="9">
        <f>36250+41361.45</f>
        <v>77611.45</v>
      </c>
      <c r="G151" s="9">
        <f>37500+39911.46</f>
        <v>77411.459999999992</v>
      </c>
      <c r="H151" s="9">
        <f t="shared" ref="H151:R151" si="103">37500+39911.46</f>
        <v>77411.459999999992</v>
      </c>
      <c r="I151" s="9">
        <f t="shared" si="103"/>
        <v>77411.459999999992</v>
      </c>
      <c r="J151" s="9">
        <f t="shared" si="103"/>
        <v>77411.459999999992</v>
      </c>
      <c r="K151" s="9">
        <f t="shared" si="103"/>
        <v>77411.459999999992</v>
      </c>
      <c r="L151" s="9">
        <f>37500+39911.45</f>
        <v>77411.45</v>
      </c>
      <c r="M151" s="9">
        <f t="shared" si="103"/>
        <v>77411.459999999992</v>
      </c>
      <c r="N151" s="9">
        <f t="shared" si="103"/>
        <v>77411.459999999992</v>
      </c>
      <c r="O151" s="9">
        <f t="shared" si="103"/>
        <v>77411.459999999992</v>
      </c>
      <c r="P151" s="10">
        <f>SUM(D151:O151)</f>
        <v>929537.49999999965</v>
      </c>
      <c r="Q151" s="9">
        <f t="shared" si="103"/>
        <v>77411.459999999992</v>
      </c>
      <c r="R151" s="9">
        <f t="shared" si="103"/>
        <v>77411.459999999992</v>
      </c>
      <c r="S151" s="9">
        <f>37500+39911.45</f>
        <v>77411.45</v>
      </c>
      <c r="T151" s="9">
        <f>39166.67+38411.46</f>
        <v>77578.13</v>
      </c>
      <c r="U151" s="9">
        <f t="shared" ref="U151:AE151" si="104">39166.67+38411.46</f>
        <v>77578.13</v>
      </c>
      <c r="V151" s="9">
        <f t="shared" si="104"/>
        <v>77578.13</v>
      </c>
      <c r="W151" s="9">
        <f t="shared" si="104"/>
        <v>77578.13</v>
      </c>
      <c r="X151" s="9">
        <f t="shared" si="104"/>
        <v>77578.13</v>
      </c>
      <c r="Y151" s="9">
        <f>39166.67+38411.45</f>
        <v>77578.12</v>
      </c>
      <c r="Z151" s="9">
        <f t="shared" si="104"/>
        <v>77578.13</v>
      </c>
      <c r="AA151" s="9">
        <f t="shared" si="104"/>
        <v>77578.13</v>
      </c>
      <c r="AB151" s="9">
        <f t="shared" si="104"/>
        <v>77578.13</v>
      </c>
      <c r="AC151" s="10">
        <f>SUM(Q151:AB151)</f>
        <v>930437.53</v>
      </c>
      <c r="AD151" s="9">
        <f t="shared" si="104"/>
        <v>77578.13</v>
      </c>
      <c r="AE151" s="9">
        <f t="shared" si="104"/>
        <v>77578.13</v>
      </c>
      <c r="AF151" s="9">
        <f>39166.63+38411.45</f>
        <v>77578.079999999987</v>
      </c>
      <c r="AG151" s="10">
        <f>40833.33+36844.79</f>
        <v>77678.12</v>
      </c>
      <c r="AH151" s="10">
        <f t="shared" ref="AH151:AO151" si="105">40833.33+36844.79</f>
        <v>77678.12</v>
      </c>
      <c r="AI151" s="10">
        <f t="shared" si="105"/>
        <v>77678.12</v>
      </c>
      <c r="AJ151" s="10">
        <f t="shared" si="105"/>
        <v>77678.12</v>
      </c>
      <c r="AK151" s="10">
        <f t="shared" si="105"/>
        <v>77678.12</v>
      </c>
      <c r="AL151" s="10">
        <f>40833.33+36844.8</f>
        <v>77678.13</v>
      </c>
      <c r="AM151" s="10">
        <f t="shared" si="105"/>
        <v>77678.12</v>
      </c>
      <c r="AN151" s="10">
        <f t="shared" si="105"/>
        <v>77678.12</v>
      </c>
      <c r="AO151" s="55">
        <f t="shared" si="105"/>
        <v>77678.12</v>
      </c>
      <c r="AP151" s="10">
        <f>SUM(AD151:AO151)</f>
        <v>931837.42999999993</v>
      </c>
      <c r="AR151" s="33"/>
    </row>
    <row r="152" spans="1:44" ht="13.5" thickBot="1" x14ac:dyDescent="0.35">
      <c r="C152" s="11" t="s">
        <v>55</v>
      </c>
      <c r="D152" s="12">
        <f t="shared" ref="D152:O152" si="106">SUM(D149:D151)</f>
        <v>78869.37999999999</v>
      </c>
      <c r="E152" s="12">
        <f t="shared" si="106"/>
        <v>78619.37999999999</v>
      </c>
      <c r="F152" s="12">
        <f t="shared" si="106"/>
        <v>78619.37</v>
      </c>
      <c r="G152" s="12">
        <f t="shared" si="106"/>
        <v>78419.37999999999</v>
      </c>
      <c r="H152" s="12">
        <f t="shared" si="106"/>
        <v>78419.37999999999</v>
      </c>
      <c r="I152" s="12">
        <f t="shared" si="106"/>
        <v>78419.37999999999</v>
      </c>
      <c r="J152" s="12">
        <f t="shared" si="106"/>
        <v>78383.12999999999</v>
      </c>
      <c r="K152" s="12">
        <f t="shared" si="106"/>
        <v>78383.12999999999</v>
      </c>
      <c r="L152" s="12">
        <f t="shared" si="106"/>
        <v>78383.12</v>
      </c>
      <c r="M152" s="12">
        <f t="shared" si="106"/>
        <v>78383.12999999999</v>
      </c>
      <c r="N152" s="12">
        <f t="shared" si="106"/>
        <v>78383.12999999999</v>
      </c>
      <c r="O152" s="12">
        <f t="shared" si="106"/>
        <v>78383.12999999999</v>
      </c>
      <c r="P152" s="12">
        <f>SUM(P149:P151)</f>
        <v>941665.03999999969</v>
      </c>
      <c r="Q152" s="12">
        <f t="shared" ref="Q152:AB152" si="107">SUM(Q149:Q151)</f>
        <v>78633.12999999999</v>
      </c>
      <c r="R152" s="12">
        <f t="shared" si="107"/>
        <v>78383.12999999999</v>
      </c>
      <c r="S152" s="12">
        <f t="shared" si="107"/>
        <v>78383.12</v>
      </c>
      <c r="T152" s="12">
        <f t="shared" si="107"/>
        <v>78549.8</v>
      </c>
      <c r="U152" s="12">
        <f t="shared" si="107"/>
        <v>78549.8</v>
      </c>
      <c r="V152" s="12">
        <f t="shared" si="107"/>
        <v>78549.8</v>
      </c>
      <c r="W152" s="12">
        <f t="shared" si="107"/>
        <v>78512.3</v>
      </c>
      <c r="X152" s="12">
        <f t="shared" si="107"/>
        <v>78512.3</v>
      </c>
      <c r="Y152" s="12">
        <f t="shared" si="107"/>
        <v>78512.289999999994</v>
      </c>
      <c r="Z152" s="12">
        <f t="shared" si="107"/>
        <v>78512.3</v>
      </c>
      <c r="AA152" s="12">
        <f t="shared" si="107"/>
        <v>78512.3</v>
      </c>
      <c r="AB152" s="12">
        <f t="shared" si="107"/>
        <v>78512.3</v>
      </c>
      <c r="AC152" s="12">
        <f>SUM(AC149:AC151)</f>
        <v>942122.57000000007</v>
      </c>
      <c r="AD152" s="12">
        <f>SUM(AD149:AD151)</f>
        <v>78762.3</v>
      </c>
      <c r="AE152" s="12">
        <f>SUM(AE149:AE151)</f>
        <v>78512.3</v>
      </c>
      <c r="AF152" s="12">
        <f t="shared" ref="AF152:AO152" si="108">SUM(AF149:AF151)</f>
        <v>78512.249999999985</v>
      </c>
      <c r="AG152" s="12">
        <f t="shared" si="108"/>
        <v>78612.289999999994</v>
      </c>
      <c r="AH152" s="12">
        <f t="shared" si="108"/>
        <v>78612.289999999994</v>
      </c>
      <c r="AI152" s="12">
        <f t="shared" si="108"/>
        <v>78612.289999999994</v>
      </c>
      <c r="AJ152" s="12">
        <f t="shared" si="108"/>
        <v>78573.119999999995</v>
      </c>
      <c r="AK152" s="12">
        <f t="shared" si="108"/>
        <v>78573.119999999995</v>
      </c>
      <c r="AL152" s="12">
        <f t="shared" si="108"/>
        <v>78573.13</v>
      </c>
      <c r="AM152" s="12">
        <f t="shared" si="108"/>
        <v>78573.119999999995</v>
      </c>
      <c r="AN152" s="12">
        <f t="shared" si="108"/>
        <v>78573.119999999995</v>
      </c>
      <c r="AO152" s="57">
        <f t="shared" si="108"/>
        <v>78573.119999999995</v>
      </c>
      <c r="AP152" s="12">
        <f>SUM(AP149:AP151)</f>
        <v>943062.45</v>
      </c>
    </row>
    <row r="153" spans="1:44" x14ac:dyDescent="0.3">
      <c r="C153" s="13"/>
    </row>
    <row r="154" spans="1:44" ht="15.5" x14ac:dyDescent="0.35">
      <c r="A154" s="18">
        <f>+A148+1</f>
        <v>21</v>
      </c>
      <c r="C154" s="22" t="s">
        <v>56</v>
      </c>
    </row>
    <row r="155" spans="1:44" x14ac:dyDescent="0.3">
      <c r="C155" s="6" t="s">
        <v>7</v>
      </c>
      <c r="D155" s="9">
        <v>950.83</v>
      </c>
      <c r="E155" s="9">
        <v>950.83</v>
      </c>
      <c r="F155" s="9">
        <v>950.83</v>
      </c>
      <c r="G155" s="9">
        <v>950.83</v>
      </c>
      <c r="H155" s="9">
        <v>950.83</v>
      </c>
      <c r="I155" s="9">
        <v>950.83</v>
      </c>
      <c r="J155" s="9">
        <v>950.83</v>
      </c>
      <c r="K155" s="9">
        <v>915.83</v>
      </c>
      <c r="L155" s="9">
        <v>915.83</v>
      </c>
      <c r="M155" s="9">
        <v>915.83</v>
      </c>
      <c r="N155" s="9">
        <v>915.83</v>
      </c>
      <c r="O155" s="9">
        <v>915.83</v>
      </c>
      <c r="P155" s="10">
        <f>SUM(D155:O155)</f>
        <v>11234.960000000001</v>
      </c>
      <c r="Q155" s="9">
        <v>915.83</v>
      </c>
      <c r="R155" s="9">
        <v>915.83</v>
      </c>
      <c r="S155" s="9">
        <v>915.83</v>
      </c>
      <c r="T155" s="9">
        <v>915.83</v>
      </c>
      <c r="U155" s="9">
        <v>915.83</v>
      </c>
      <c r="V155" s="9">
        <v>915.83</v>
      </c>
      <c r="W155" s="9">
        <v>915.83</v>
      </c>
      <c r="X155" s="9">
        <v>879.58</v>
      </c>
      <c r="Y155" s="9">
        <v>879.58</v>
      </c>
      <c r="Z155" s="9">
        <v>879.58</v>
      </c>
      <c r="AA155" s="9">
        <v>879.58</v>
      </c>
      <c r="AB155" s="9">
        <v>879.58</v>
      </c>
      <c r="AC155" s="10">
        <f>SUM(Q155:AB155)</f>
        <v>10808.710000000001</v>
      </c>
      <c r="AD155" s="9">
        <v>879.58</v>
      </c>
      <c r="AE155" s="9">
        <v>879.58</v>
      </c>
      <c r="AF155" s="9">
        <v>879.58</v>
      </c>
      <c r="AG155" s="9">
        <v>879.58</v>
      </c>
      <c r="AH155" s="9">
        <v>879.58</v>
      </c>
      <c r="AI155" s="9">
        <v>879.58</v>
      </c>
      <c r="AJ155" s="9">
        <v>879.58</v>
      </c>
      <c r="AK155" s="10">
        <v>841.67</v>
      </c>
      <c r="AL155" s="10">
        <v>841.67</v>
      </c>
      <c r="AM155" s="10">
        <v>841.67</v>
      </c>
      <c r="AN155" s="10">
        <v>841.67</v>
      </c>
      <c r="AO155" s="55">
        <v>841.67</v>
      </c>
      <c r="AP155" s="10">
        <f>SUM(AD155:AO155)</f>
        <v>10365.41</v>
      </c>
    </row>
    <row r="156" spans="1:44" x14ac:dyDescent="0.3">
      <c r="C156" s="6" t="s">
        <v>8</v>
      </c>
      <c r="D156" s="9">
        <v>250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0">
        <f>SUM(D156:O156)</f>
        <v>250</v>
      </c>
      <c r="Q156" s="9">
        <v>250</v>
      </c>
      <c r="AC156" s="10">
        <f>SUM(Q156:AB156)</f>
        <v>250</v>
      </c>
      <c r="AD156" s="9">
        <v>250</v>
      </c>
      <c r="AE156" s="9"/>
      <c r="AF156" s="9"/>
      <c r="AG156" s="9"/>
      <c r="AH156" s="9"/>
      <c r="AI156" s="9"/>
      <c r="AJ156" s="9"/>
      <c r="AK156" s="9"/>
      <c r="AL156" s="9"/>
      <c r="AM156" s="9"/>
      <c r="AN156" s="23"/>
      <c r="AO156" s="56"/>
      <c r="AP156" s="10">
        <f>SUM(AD156:AO156)</f>
        <v>250</v>
      </c>
    </row>
    <row r="157" spans="1:44" ht="13.5" thickBot="1" x14ac:dyDescent="0.35">
      <c r="C157" s="6" t="s">
        <v>9</v>
      </c>
      <c r="D157" s="9">
        <f>39166.67+50042.71</f>
        <v>89209.38</v>
      </c>
      <c r="E157" s="9">
        <f>39166.67+50042.71</f>
        <v>89209.38</v>
      </c>
      <c r="F157" s="9">
        <f>39166.67+50042.71</f>
        <v>89209.38</v>
      </c>
      <c r="G157" s="9">
        <f>39166.67+50042.71</f>
        <v>89209.38</v>
      </c>
      <c r="H157" s="9">
        <f>39166.63+50042.7</f>
        <v>89209.329999999987</v>
      </c>
      <c r="I157" s="9">
        <f>40416.67+48507.29</f>
        <v>88923.959999999992</v>
      </c>
      <c r="J157" s="9">
        <f t="shared" ref="J157:T157" si="109">40416.67+48507.29</f>
        <v>88923.959999999992</v>
      </c>
      <c r="K157" s="9">
        <f t="shared" si="109"/>
        <v>88923.959999999992</v>
      </c>
      <c r="L157" s="9">
        <f t="shared" si="109"/>
        <v>88923.959999999992</v>
      </c>
      <c r="M157" s="9">
        <f t="shared" si="109"/>
        <v>88923.959999999992</v>
      </c>
      <c r="N157" s="9">
        <f>40416.67+48507.3</f>
        <v>88923.97</v>
      </c>
      <c r="O157" s="9">
        <f t="shared" si="109"/>
        <v>88923.959999999992</v>
      </c>
      <c r="P157" s="10">
        <f>SUM(D157:O157)</f>
        <v>1068514.5799999998</v>
      </c>
      <c r="Q157" s="9">
        <f t="shared" si="109"/>
        <v>88923.959999999992</v>
      </c>
      <c r="R157" s="9">
        <f t="shared" si="109"/>
        <v>88923.959999999992</v>
      </c>
      <c r="S157" s="9">
        <f t="shared" si="109"/>
        <v>88923.959999999992</v>
      </c>
      <c r="T157" s="9">
        <f t="shared" si="109"/>
        <v>88923.959999999992</v>
      </c>
      <c r="U157" s="9">
        <f>40416.63+48507.3</f>
        <v>88923.93</v>
      </c>
      <c r="V157" s="9">
        <f>42083.33+46921.88</f>
        <v>89005.209999999992</v>
      </c>
      <c r="W157" s="9">
        <f t="shared" ref="W157:AG157" si="110">42083.33+46921.88</f>
        <v>89005.209999999992</v>
      </c>
      <c r="X157" s="9">
        <f t="shared" si="110"/>
        <v>89005.209999999992</v>
      </c>
      <c r="Y157" s="9">
        <f t="shared" si="110"/>
        <v>89005.209999999992</v>
      </c>
      <c r="Z157" s="9">
        <f t="shared" si="110"/>
        <v>89005.209999999992</v>
      </c>
      <c r="AA157" s="9">
        <f>42083.33+46921.85</f>
        <v>89005.18</v>
      </c>
      <c r="AB157" s="9">
        <f t="shared" si="110"/>
        <v>89005.209999999992</v>
      </c>
      <c r="AC157" s="10">
        <f>SUM(Q157:AB157)</f>
        <v>1067656.2099999997</v>
      </c>
      <c r="AD157" s="9">
        <f t="shared" si="110"/>
        <v>89005.209999999992</v>
      </c>
      <c r="AE157" s="9">
        <f t="shared" si="110"/>
        <v>89005.209999999992</v>
      </c>
      <c r="AF157" s="9">
        <f t="shared" si="110"/>
        <v>89005.209999999992</v>
      </c>
      <c r="AG157" s="9">
        <f t="shared" si="110"/>
        <v>89005.209999999992</v>
      </c>
      <c r="AH157" s="9">
        <f>42083.37+46921.85</f>
        <v>89005.22</v>
      </c>
      <c r="AI157" s="10">
        <f>44166.67+45269.79</f>
        <v>89436.459999999992</v>
      </c>
      <c r="AJ157" s="10">
        <f t="shared" ref="AJ157:AO157" si="111">44166.67+45269.79</f>
        <v>89436.459999999992</v>
      </c>
      <c r="AK157" s="10">
        <f t="shared" si="111"/>
        <v>89436.459999999992</v>
      </c>
      <c r="AL157" s="10">
        <f t="shared" si="111"/>
        <v>89436.459999999992</v>
      </c>
      <c r="AM157" s="10">
        <f t="shared" si="111"/>
        <v>89436.459999999992</v>
      </c>
      <c r="AN157" s="10">
        <f>44166.67+45269.8</f>
        <v>89436.47</v>
      </c>
      <c r="AO157" s="55">
        <f t="shared" si="111"/>
        <v>89436.459999999992</v>
      </c>
      <c r="AP157" s="10">
        <f>SUM(AD157:AO157)</f>
        <v>1071081.2899999998</v>
      </c>
      <c r="AR157" s="33"/>
    </row>
    <row r="158" spans="1:44" ht="13.5" thickBot="1" x14ac:dyDescent="0.35">
      <c r="C158" s="11" t="s">
        <v>48</v>
      </c>
      <c r="D158" s="12">
        <f t="shared" ref="D158:O158" si="112">SUM(D155:D157)</f>
        <v>90410.21</v>
      </c>
      <c r="E158" s="12">
        <f t="shared" si="112"/>
        <v>90160.21</v>
      </c>
      <c r="F158" s="12">
        <f t="shared" si="112"/>
        <v>90160.21</v>
      </c>
      <c r="G158" s="12">
        <f t="shared" si="112"/>
        <v>90160.21</v>
      </c>
      <c r="H158" s="12">
        <f t="shared" si="112"/>
        <v>90160.159999999989</v>
      </c>
      <c r="I158" s="12">
        <f t="shared" si="112"/>
        <v>89874.79</v>
      </c>
      <c r="J158" s="12">
        <f t="shared" si="112"/>
        <v>89874.79</v>
      </c>
      <c r="K158" s="12">
        <f t="shared" si="112"/>
        <v>89839.79</v>
      </c>
      <c r="L158" s="12">
        <f t="shared" si="112"/>
        <v>89839.79</v>
      </c>
      <c r="M158" s="12">
        <f t="shared" si="112"/>
        <v>89839.79</v>
      </c>
      <c r="N158" s="12">
        <f t="shared" si="112"/>
        <v>89839.8</v>
      </c>
      <c r="O158" s="12">
        <f t="shared" si="112"/>
        <v>89839.79</v>
      </c>
      <c r="P158" s="12">
        <f>SUM(P155:P157)</f>
        <v>1079999.5399999998</v>
      </c>
      <c r="Q158" s="12">
        <f t="shared" ref="Q158:AB158" si="113">SUM(Q155:Q157)</f>
        <v>90089.79</v>
      </c>
      <c r="R158" s="12">
        <f t="shared" si="113"/>
        <v>89839.79</v>
      </c>
      <c r="S158" s="12">
        <f t="shared" si="113"/>
        <v>89839.79</v>
      </c>
      <c r="T158" s="12">
        <f t="shared" si="113"/>
        <v>89839.79</v>
      </c>
      <c r="U158" s="12">
        <f t="shared" si="113"/>
        <v>89839.76</v>
      </c>
      <c r="V158" s="12">
        <f t="shared" si="113"/>
        <v>89921.04</v>
      </c>
      <c r="W158" s="12">
        <f t="shared" si="113"/>
        <v>89921.04</v>
      </c>
      <c r="X158" s="12">
        <f t="shared" si="113"/>
        <v>89884.79</v>
      </c>
      <c r="Y158" s="12">
        <f t="shared" si="113"/>
        <v>89884.79</v>
      </c>
      <c r="Z158" s="12">
        <f t="shared" si="113"/>
        <v>89884.79</v>
      </c>
      <c r="AA158" s="12">
        <f t="shared" si="113"/>
        <v>89884.76</v>
      </c>
      <c r="AB158" s="12">
        <f t="shared" si="113"/>
        <v>89884.79</v>
      </c>
      <c r="AC158" s="12">
        <f>SUM(AC155:AC157)</f>
        <v>1078714.9199999997</v>
      </c>
      <c r="AD158" s="12">
        <f>SUM(AD155:AD157)</f>
        <v>90134.79</v>
      </c>
      <c r="AE158" s="12">
        <f>SUM(AE155:AE157)</f>
        <v>89884.79</v>
      </c>
      <c r="AF158" s="12">
        <f t="shared" ref="AF158:AO158" si="114">SUM(AF155:AF157)</f>
        <v>89884.79</v>
      </c>
      <c r="AG158" s="12">
        <f t="shared" si="114"/>
        <v>89884.79</v>
      </c>
      <c r="AH158" s="12">
        <f t="shared" si="114"/>
        <v>89884.800000000003</v>
      </c>
      <c r="AI158" s="12">
        <f t="shared" si="114"/>
        <v>90316.04</v>
      </c>
      <c r="AJ158" s="12">
        <f t="shared" si="114"/>
        <v>90316.04</v>
      </c>
      <c r="AK158" s="12">
        <f t="shared" si="114"/>
        <v>90278.12999999999</v>
      </c>
      <c r="AL158" s="12">
        <f t="shared" si="114"/>
        <v>90278.12999999999</v>
      </c>
      <c r="AM158" s="12">
        <f t="shared" si="114"/>
        <v>90278.12999999999</v>
      </c>
      <c r="AN158" s="12">
        <f t="shared" si="114"/>
        <v>90278.14</v>
      </c>
      <c r="AO158" s="57">
        <f t="shared" si="114"/>
        <v>90278.12999999999</v>
      </c>
      <c r="AP158" s="12">
        <f>SUM(AP155:AP157)</f>
        <v>1081696.6999999997</v>
      </c>
    </row>
    <row r="159" spans="1:44" x14ac:dyDescent="0.3">
      <c r="C159" s="13"/>
    </row>
    <row r="160" spans="1:44" ht="15.5" x14ac:dyDescent="0.35">
      <c r="A160" s="18">
        <f>+A154+1</f>
        <v>22</v>
      </c>
      <c r="C160" s="22" t="s">
        <v>57</v>
      </c>
    </row>
    <row r="161" spans="1:44" x14ac:dyDescent="0.3">
      <c r="C161" s="6" t="s">
        <v>7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f>SUM(D161:O161)</f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f>SUM(Q161:AB161)</f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55">
        <v>0</v>
      </c>
      <c r="AP161" s="10">
        <f>SUM(AD161:AO161)</f>
        <v>0</v>
      </c>
    </row>
    <row r="162" spans="1:44" x14ac:dyDescent="0.3">
      <c r="C162" s="6" t="s">
        <v>8</v>
      </c>
      <c r="D162" s="9">
        <v>250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0">
        <f>SUM(D162:O162)</f>
        <v>250</v>
      </c>
      <c r="Q162" s="9">
        <v>250</v>
      </c>
      <c r="AC162" s="10">
        <f>SUM(Q162:AB162)</f>
        <v>250</v>
      </c>
      <c r="AD162" s="9">
        <v>250</v>
      </c>
      <c r="AE162" s="9"/>
      <c r="AF162" s="9"/>
      <c r="AG162" s="9"/>
      <c r="AH162" s="9"/>
      <c r="AI162" s="9"/>
      <c r="AJ162" s="9"/>
      <c r="AK162" s="9"/>
      <c r="AL162" s="9"/>
      <c r="AM162" s="9"/>
      <c r="AN162" s="23"/>
      <c r="AO162" s="56"/>
      <c r="AP162" s="10">
        <f>SUM(AD162:AO162)</f>
        <v>250</v>
      </c>
    </row>
    <row r="163" spans="1:44" ht="13.5" thickBot="1" x14ac:dyDescent="0.35">
      <c r="C163" s="6" t="s">
        <v>9</v>
      </c>
      <c r="D163" s="9">
        <f>48750+109283.33</f>
        <v>158033.33000000002</v>
      </c>
      <c r="E163" s="9">
        <f>48750+109283.33</f>
        <v>158033.33000000002</v>
      </c>
      <c r="F163" s="9">
        <f>48750+109283.33</f>
        <v>158033.33000000002</v>
      </c>
      <c r="G163" s="9">
        <f>48750+109283.33</f>
        <v>158033.33000000002</v>
      </c>
      <c r="H163" s="9">
        <f>48750+109283.35</f>
        <v>158033.35</v>
      </c>
      <c r="I163" s="9">
        <f>51250+107333.33</f>
        <v>158583.33000000002</v>
      </c>
      <c r="J163" s="9">
        <f t="shared" ref="J163:T163" si="115">51250+107333.33</f>
        <v>158583.33000000002</v>
      </c>
      <c r="K163" s="9">
        <f t="shared" si="115"/>
        <v>158583.33000000002</v>
      </c>
      <c r="L163" s="9">
        <f t="shared" si="115"/>
        <v>158583.33000000002</v>
      </c>
      <c r="M163" s="9">
        <f t="shared" si="115"/>
        <v>158583.33000000002</v>
      </c>
      <c r="N163" s="9">
        <f>51250+107333.35</f>
        <v>158583.35</v>
      </c>
      <c r="O163" s="9">
        <f t="shared" si="115"/>
        <v>158583.33000000002</v>
      </c>
      <c r="P163" s="10">
        <f>SUM(D163:O163)</f>
        <v>1900250.0000000005</v>
      </c>
      <c r="Q163" s="9">
        <f t="shared" si="115"/>
        <v>158583.33000000002</v>
      </c>
      <c r="R163" s="9">
        <f t="shared" si="115"/>
        <v>158583.33000000002</v>
      </c>
      <c r="S163" s="9">
        <f t="shared" si="115"/>
        <v>158583.33000000002</v>
      </c>
      <c r="T163" s="9">
        <f t="shared" si="115"/>
        <v>158583.33000000002</v>
      </c>
      <c r="U163" s="9">
        <f>51250+107333.35</f>
        <v>158583.35</v>
      </c>
      <c r="V163" s="9">
        <f>52916.67+105283.33</f>
        <v>158200</v>
      </c>
      <c r="W163" s="9">
        <f t="shared" ref="W163:AG163" si="116">52916.67+105283.33</f>
        <v>158200</v>
      </c>
      <c r="X163" s="9">
        <f t="shared" si="116"/>
        <v>158200</v>
      </c>
      <c r="Y163" s="9">
        <f t="shared" si="116"/>
        <v>158200</v>
      </c>
      <c r="Z163" s="9">
        <f t="shared" si="116"/>
        <v>158200</v>
      </c>
      <c r="AA163" s="9">
        <f>52916.67+105283.35</f>
        <v>158200.02000000002</v>
      </c>
      <c r="AB163" s="9">
        <f t="shared" si="116"/>
        <v>158200</v>
      </c>
      <c r="AC163" s="10">
        <f>SUM(Q163:AB163)</f>
        <v>1900316.69</v>
      </c>
      <c r="AD163" s="9">
        <f t="shared" si="116"/>
        <v>158200</v>
      </c>
      <c r="AE163" s="9">
        <f t="shared" si="116"/>
        <v>158200</v>
      </c>
      <c r="AF163" s="9">
        <f t="shared" si="116"/>
        <v>158200</v>
      </c>
      <c r="AG163" s="9">
        <f t="shared" si="116"/>
        <v>158200</v>
      </c>
      <c r="AH163" s="9">
        <f>52916.63+105283.35</f>
        <v>158199.98000000001</v>
      </c>
      <c r="AI163" s="10">
        <f>55000+103166.67</f>
        <v>158166.66999999998</v>
      </c>
      <c r="AJ163" s="10">
        <f t="shared" ref="AJ163:AO163" si="117">55000+103166.67</f>
        <v>158166.66999999998</v>
      </c>
      <c r="AK163" s="10">
        <f t="shared" si="117"/>
        <v>158166.66999999998</v>
      </c>
      <c r="AL163" s="10">
        <f t="shared" si="117"/>
        <v>158166.66999999998</v>
      </c>
      <c r="AM163" s="10">
        <f t="shared" si="117"/>
        <v>158166.66999999998</v>
      </c>
      <c r="AN163" s="10">
        <f>55000+103166.65</f>
        <v>158166.65</v>
      </c>
      <c r="AO163" s="55">
        <f t="shared" si="117"/>
        <v>158166.66999999998</v>
      </c>
      <c r="AP163" s="10">
        <f>SUM(AD163:AO163)</f>
        <v>1898166.6499999994</v>
      </c>
      <c r="AR163" s="33"/>
    </row>
    <row r="164" spans="1:44" ht="13.5" thickBot="1" x14ac:dyDescent="0.35">
      <c r="C164" s="11" t="s">
        <v>58</v>
      </c>
      <c r="D164" s="12">
        <f t="shared" ref="D164:O164" si="118">SUM(D161:D163)</f>
        <v>158283.33000000002</v>
      </c>
      <c r="E164" s="12">
        <f t="shared" si="118"/>
        <v>158033.33000000002</v>
      </c>
      <c r="F164" s="12">
        <f t="shared" si="118"/>
        <v>158033.33000000002</v>
      </c>
      <c r="G164" s="12">
        <f t="shared" si="118"/>
        <v>158033.33000000002</v>
      </c>
      <c r="H164" s="12">
        <f t="shared" si="118"/>
        <v>158033.35</v>
      </c>
      <c r="I164" s="12">
        <f t="shared" si="118"/>
        <v>158583.33000000002</v>
      </c>
      <c r="J164" s="12">
        <f t="shared" si="118"/>
        <v>158583.33000000002</v>
      </c>
      <c r="K164" s="12">
        <f t="shared" si="118"/>
        <v>158583.33000000002</v>
      </c>
      <c r="L164" s="12">
        <f t="shared" si="118"/>
        <v>158583.33000000002</v>
      </c>
      <c r="M164" s="12">
        <f t="shared" si="118"/>
        <v>158583.33000000002</v>
      </c>
      <c r="N164" s="12">
        <f t="shared" si="118"/>
        <v>158583.35</v>
      </c>
      <c r="O164" s="12">
        <f t="shared" si="118"/>
        <v>158583.33000000002</v>
      </c>
      <c r="P164" s="12">
        <f>SUM(P161:P163)</f>
        <v>1900500.0000000005</v>
      </c>
      <c r="Q164" s="12">
        <f t="shared" ref="Q164:AB164" si="119">SUM(Q161:Q163)</f>
        <v>158833.33000000002</v>
      </c>
      <c r="R164" s="12">
        <f t="shared" si="119"/>
        <v>158583.33000000002</v>
      </c>
      <c r="S164" s="12">
        <f t="shared" si="119"/>
        <v>158583.33000000002</v>
      </c>
      <c r="T164" s="12">
        <f t="shared" si="119"/>
        <v>158583.33000000002</v>
      </c>
      <c r="U164" s="12">
        <f t="shared" si="119"/>
        <v>158583.35</v>
      </c>
      <c r="V164" s="12">
        <f t="shared" si="119"/>
        <v>158200</v>
      </c>
      <c r="W164" s="12">
        <f t="shared" si="119"/>
        <v>158200</v>
      </c>
      <c r="X164" s="12">
        <f t="shared" si="119"/>
        <v>158200</v>
      </c>
      <c r="Y164" s="12">
        <f t="shared" si="119"/>
        <v>158200</v>
      </c>
      <c r="Z164" s="12">
        <f t="shared" si="119"/>
        <v>158200</v>
      </c>
      <c r="AA164" s="12">
        <f t="shared" si="119"/>
        <v>158200.02000000002</v>
      </c>
      <c r="AB164" s="12">
        <f t="shared" si="119"/>
        <v>158200</v>
      </c>
      <c r="AC164" s="12">
        <f>SUM(AC161:AC163)</f>
        <v>1900566.69</v>
      </c>
      <c r="AD164" s="12">
        <f>SUM(AD161:AD163)</f>
        <v>158450</v>
      </c>
      <c r="AE164" s="12">
        <f>SUM(AE161:AE163)</f>
        <v>158200</v>
      </c>
      <c r="AF164" s="12">
        <f t="shared" ref="AF164:AO164" si="120">SUM(AF161:AF163)</f>
        <v>158200</v>
      </c>
      <c r="AG164" s="12">
        <f t="shared" si="120"/>
        <v>158200</v>
      </c>
      <c r="AH164" s="12">
        <f t="shared" si="120"/>
        <v>158199.98000000001</v>
      </c>
      <c r="AI164" s="12">
        <f t="shared" si="120"/>
        <v>158166.66999999998</v>
      </c>
      <c r="AJ164" s="12">
        <f t="shared" si="120"/>
        <v>158166.66999999998</v>
      </c>
      <c r="AK164" s="12">
        <f t="shared" si="120"/>
        <v>158166.66999999998</v>
      </c>
      <c r="AL164" s="12">
        <f t="shared" si="120"/>
        <v>158166.66999999998</v>
      </c>
      <c r="AM164" s="12">
        <f t="shared" si="120"/>
        <v>158166.66999999998</v>
      </c>
      <c r="AN164" s="12">
        <f t="shared" si="120"/>
        <v>158166.65</v>
      </c>
      <c r="AO164" s="57">
        <f t="shared" si="120"/>
        <v>158166.66999999998</v>
      </c>
      <c r="AP164" s="12">
        <f>SUM(AP161:AP163)</f>
        <v>1898416.6499999994</v>
      </c>
    </row>
    <row r="165" spans="1:44" x14ac:dyDescent="0.3">
      <c r="C165" s="13"/>
    </row>
    <row r="166" spans="1:44" ht="15.5" x14ac:dyDescent="0.35">
      <c r="A166" s="18"/>
      <c r="B166" s="24" t="s">
        <v>5</v>
      </c>
      <c r="C166" s="8" t="s">
        <v>59</v>
      </c>
    </row>
    <row r="167" spans="1:44" x14ac:dyDescent="0.3">
      <c r="C167" s="6" t="s">
        <v>7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/>
      <c r="P167" s="10">
        <f>SUM(D167:O167)</f>
        <v>0</v>
      </c>
    </row>
    <row r="168" spans="1:44" x14ac:dyDescent="0.3">
      <c r="C168" s="6" t="s">
        <v>8</v>
      </c>
      <c r="D168" s="9">
        <v>250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0">
        <f>SUM(D168:O168)</f>
        <v>250</v>
      </c>
    </row>
    <row r="169" spans="1:44" ht="13.5" thickBot="1" x14ac:dyDescent="0.35">
      <c r="C169" s="6" t="s">
        <v>9</v>
      </c>
      <c r="D169" s="9">
        <f t="shared" ref="D169:L169" si="121">20416.67+46731.77</f>
        <v>67148.44</v>
      </c>
      <c r="E169" s="9">
        <f t="shared" si="121"/>
        <v>67148.44</v>
      </c>
      <c r="F169" s="9">
        <f t="shared" si="121"/>
        <v>67148.44</v>
      </c>
      <c r="G169" s="9">
        <f t="shared" si="121"/>
        <v>67148.44</v>
      </c>
      <c r="H169" s="9">
        <f t="shared" si="121"/>
        <v>67148.44</v>
      </c>
      <c r="I169" s="9">
        <f t="shared" si="121"/>
        <v>67148.44</v>
      </c>
      <c r="J169" s="9">
        <f t="shared" si="121"/>
        <v>67148.44</v>
      </c>
      <c r="K169" s="9">
        <f t="shared" si="121"/>
        <v>67148.44</v>
      </c>
      <c r="L169" s="9">
        <f t="shared" si="121"/>
        <v>67148.44</v>
      </c>
      <c r="M169" s="9">
        <f>21250+45813.02</f>
        <v>67063.01999999999</v>
      </c>
      <c r="N169" s="9">
        <f>21250+45813.02</f>
        <v>67063.01999999999</v>
      </c>
      <c r="O169" s="9"/>
      <c r="P169" s="10">
        <f>SUM(D169:O169)</f>
        <v>738462</v>
      </c>
    </row>
    <row r="170" spans="1:44" ht="13.5" thickBot="1" x14ac:dyDescent="0.35">
      <c r="C170" s="11" t="s">
        <v>60</v>
      </c>
      <c r="D170" s="12">
        <f t="shared" ref="D170:O170" si="122">SUM(D167:D169)</f>
        <v>67398.44</v>
      </c>
      <c r="E170" s="12">
        <f t="shared" si="122"/>
        <v>67148.44</v>
      </c>
      <c r="F170" s="12">
        <f t="shared" si="122"/>
        <v>67148.44</v>
      </c>
      <c r="G170" s="12">
        <f t="shared" si="122"/>
        <v>67148.44</v>
      </c>
      <c r="H170" s="12">
        <f t="shared" si="122"/>
        <v>67148.44</v>
      </c>
      <c r="I170" s="12">
        <f t="shared" si="122"/>
        <v>67148.44</v>
      </c>
      <c r="J170" s="12">
        <f t="shared" si="122"/>
        <v>67148.44</v>
      </c>
      <c r="K170" s="12">
        <f t="shared" si="122"/>
        <v>67148.44</v>
      </c>
      <c r="L170" s="12">
        <f t="shared" si="122"/>
        <v>67148.44</v>
      </c>
      <c r="M170" s="12">
        <f t="shared" si="122"/>
        <v>67063.01999999999</v>
      </c>
      <c r="N170" s="12">
        <f t="shared" si="122"/>
        <v>67063.01999999999</v>
      </c>
      <c r="O170" s="12">
        <f t="shared" si="122"/>
        <v>0</v>
      </c>
      <c r="P170" s="12">
        <f>SUM(P167:P169)</f>
        <v>738712</v>
      </c>
    </row>
    <row r="171" spans="1:44" x14ac:dyDescent="0.3">
      <c r="C171" s="13"/>
    </row>
    <row r="172" spans="1:44" ht="15.5" x14ac:dyDescent="0.35">
      <c r="A172" s="18">
        <f>+A160+1</f>
        <v>23</v>
      </c>
      <c r="C172" s="22" t="s">
        <v>61</v>
      </c>
    </row>
    <row r="173" spans="1:44" x14ac:dyDescent="0.3">
      <c r="C173" s="6" t="s">
        <v>7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f>SUM(D173:O173)</f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f>SUM(Q173:AB173)</f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55">
        <v>0</v>
      </c>
      <c r="AP173" s="10">
        <f>SUM(AD173:AO173)</f>
        <v>0</v>
      </c>
    </row>
    <row r="174" spans="1:44" x14ac:dyDescent="0.3">
      <c r="C174" s="6" t="s">
        <v>8</v>
      </c>
      <c r="D174" s="9">
        <v>250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0">
        <f>SUM(D174:O174)</f>
        <v>250</v>
      </c>
      <c r="Q174" s="9">
        <v>250</v>
      </c>
      <c r="AC174" s="10">
        <f>SUM(Q174:AB174)</f>
        <v>250</v>
      </c>
      <c r="AD174" s="9">
        <v>250</v>
      </c>
      <c r="AE174" s="9"/>
      <c r="AF174" s="9"/>
      <c r="AG174" s="9"/>
      <c r="AH174" s="9"/>
      <c r="AI174" s="9"/>
      <c r="AJ174" s="9"/>
      <c r="AK174" s="9"/>
      <c r="AL174" s="9"/>
      <c r="AM174" s="9"/>
      <c r="AN174" s="23"/>
      <c r="AO174" s="56"/>
      <c r="AP174" s="10">
        <f>SUM(AD174:AO174)</f>
        <v>250</v>
      </c>
    </row>
    <row r="175" spans="1:44" ht="13.5" thickBot="1" x14ac:dyDescent="0.35">
      <c r="C175" s="6" t="s">
        <v>9</v>
      </c>
      <c r="D175" s="9">
        <f t="shared" ref="D175:N175" si="123">18750+43002.61</f>
        <v>61752.61</v>
      </c>
      <c r="E175" s="9">
        <f t="shared" si="123"/>
        <v>61752.61</v>
      </c>
      <c r="F175" s="9">
        <f t="shared" si="123"/>
        <v>61752.61</v>
      </c>
      <c r="G175" s="9">
        <f t="shared" si="123"/>
        <v>61752.61</v>
      </c>
      <c r="H175" s="9">
        <f t="shared" si="123"/>
        <v>61752.61</v>
      </c>
      <c r="I175" s="9">
        <f t="shared" si="123"/>
        <v>61752.61</v>
      </c>
      <c r="J175" s="9">
        <f t="shared" si="123"/>
        <v>61752.61</v>
      </c>
      <c r="K175" s="9">
        <f t="shared" si="123"/>
        <v>61752.61</v>
      </c>
      <c r="L175" s="9">
        <f t="shared" si="123"/>
        <v>61752.61</v>
      </c>
      <c r="M175" s="9">
        <f t="shared" si="123"/>
        <v>61752.61</v>
      </c>
      <c r="N175" s="9">
        <f t="shared" si="123"/>
        <v>61752.61</v>
      </c>
      <c r="O175" s="9">
        <f>19166.67+42229.17</f>
        <v>61395.839999999997</v>
      </c>
      <c r="P175" s="10">
        <f>SUM(D175:O175)</f>
        <v>740674.54999999993</v>
      </c>
      <c r="Q175" s="9">
        <f t="shared" ref="Q175:AA175" si="124">19166.67+42229.17</f>
        <v>61395.839999999997</v>
      </c>
      <c r="R175" s="9">
        <f t="shared" si="124"/>
        <v>61395.839999999997</v>
      </c>
      <c r="S175" s="9">
        <f t="shared" si="124"/>
        <v>61395.839999999997</v>
      </c>
      <c r="T175" s="9">
        <f t="shared" si="124"/>
        <v>61395.839999999997</v>
      </c>
      <c r="U175" s="9">
        <f t="shared" si="124"/>
        <v>61395.839999999997</v>
      </c>
      <c r="V175" s="9">
        <f t="shared" si="124"/>
        <v>61395.839999999997</v>
      </c>
      <c r="W175" s="9">
        <f t="shared" si="124"/>
        <v>61395.839999999997</v>
      </c>
      <c r="X175" s="9">
        <f t="shared" si="124"/>
        <v>61395.839999999997</v>
      </c>
      <c r="Y175" s="9">
        <f t="shared" si="124"/>
        <v>61395.839999999997</v>
      </c>
      <c r="Z175" s="9">
        <f t="shared" si="124"/>
        <v>61395.839999999997</v>
      </c>
      <c r="AA175" s="9">
        <f t="shared" si="124"/>
        <v>61395.839999999997</v>
      </c>
      <c r="AB175" s="9">
        <f>20000+41438.54</f>
        <v>61438.54</v>
      </c>
      <c r="AC175" s="10">
        <f>SUM(Q175:AB175)</f>
        <v>736792.7799999998</v>
      </c>
      <c r="AD175" s="9">
        <f t="shared" ref="AD175:AN175" si="125">20000+41438.54</f>
        <v>61438.54</v>
      </c>
      <c r="AE175" s="9">
        <f t="shared" si="125"/>
        <v>61438.54</v>
      </c>
      <c r="AF175" s="9">
        <f t="shared" si="125"/>
        <v>61438.54</v>
      </c>
      <c r="AG175" s="9">
        <f t="shared" si="125"/>
        <v>61438.54</v>
      </c>
      <c r="AH175" s="9">
        <f t="shared" si="125"/>
        <v>61438.54</v>
      </c>
      <c r="AI175" s="9">
        <f t="shared" si="125"/>
        <v>61438.54</v>
      </c>
      <c r="AJ175" s="9">
        <f t="shared" si="125"/>
        <v>61438.54</v>
      </c>
      <c r="AK175" s="9">
        <f t="shared" si="125"/>
        <v>61438.54</v>
      </c>
      <c r="AL175" s="9">
        <f t="shared" si="125"/>
        <v>61438.54</v>
      </c>
      <c r="AM175" s="9">
        <f t="shared" si="125"/>
        <v>61438.54</v>
      </c>
      <c r="AN175" s="23">
        <f t="shared" si="125"/>
        <v>61438.54</v>
      </c>
      <c r="AO175" s="55">
        <f>20833.33+40613.54</f>
        <v>61446.87</v>
      </c>
      <c r="AP175" s="10">
        <f>SUM(AD175:AO175)</f>
        <v>737270.81</v>
      </c>
      <c r="AR175" s="33"/>
    </row>
    <row r="176" spans="1:44" ht="13.5" thickBot="1" x14ac:dyDescent="0.35">
      <c r="C176" s="11" t="s">
        <v>62</v>
      </c>
      <c r="D176" s="12">
        <f t="shared" ref="D176:O176" si="126">SUM(D173:D175)</f>
        <v>62002.61</v>
      </c>
      <c r="E176" s="12">
        <f t="shared" si="126"/>
        <v>61752.61</v>
      </c>
      <c r="F176" s="12">
        <f t="shared" si="126"/>
        <v>61752.61</v>
      </c>
      <c r="G176" s="12">
        <f t="shared" si="126"/>
        <v>61752.61</v>
      </c>
      <c r="H176" s="12">
        <f t="shared" si="126"/>
        <v>61752.61</v>
      </c>
      <c r="I176" s="12">
        <f t="shared" si="126"/>
        <v>61752.61</v>
      </c>
      <c r="J176" s="12">
        <f t="shared" si="126"/>
        <v>61752.61</v>
      </c>
      <c r="K176" s="12">
        <f t="shared" si="126"/>
        <v>61752.61</v>
      </c>
      <c r="L176" s="12">
        <f t="shared" si="126"/>
        <v>61752.61</v>
      </c>
      <c r="M176" s="12">
        <f t="shared" si="126"/>
        <v>61752.61</v>
      </c>
      <c r="N176" s="12">
        <f t="shared" si="126"/>
        <v>61752.61</v>
      </c>
      <c r="O176" s="12">
        <f t="shared" si="126"/>
        <v>61395.839999999997</v>
      </c>
      <c r="P176" s="12">
        <f>SUM(P173:P175)</f>
        <v>740924.54999999993</v>
      </c>
      <c r="Q176" s="12">
        <f t="shared" ref="Q176:AB176" si="127">SUM(Q173:Q175)</f>
        <v>61645.84</v>
      </c>
      <c r="R176" s="12">
        <f t="shared" si="127"/>
        <v>61395.839999999997</v>
      </c>
      <c r="S176" s="12">
        <f t="shared" si="127"/>
        <v>61395.839999999997</v>
      </c>
      <c r="T176" s="12">
        <f t="shared" si="127"/>
        <v>61395.839999999997</v>
      </c>
      <c r="U176" s="12">
        <f t="shared" si="127"/>
        <v>61395.839999999997</v>
      </c>
      <c r="V176" s="12">
        <f t="shared" si="127"/>
        <v>61395.839999999997</v>
      </c>
      <c r="W176" s="12">
        <f t="shared" si="127"/>
        <v>61395.839999999997</v>
      </c>
      <c r="X176" s="12">
        <f t="shared" si="127"/>
        <v>61395.839999999997</v>
      </c>
      <c r="Y176" s="12">
        <f t="shared" si="127"/>
        <v>61395.839999999997</v>
      </c>
      <c r="Z176" s="12">
        <f t="shared" si="127"/>
        <v>61395.839999999997</v>
      </c>
      <c r="AA176" s="12">
        <f t="shared" si="127"/>
        <v>61395.839999999997</v>
      </c>
      <c r="AB176" s="12">
        <f t="shared" si="127"/>
        <v>61438.54</v>
      </c>
      <c r="AC176" s="12">
        <f>SUM(AC173:AC175)</f>
        <v>737042.7799999998</v>
      </c>
      <c r="AD176" s="12">
        <f>SUM(AD173:AD175)</f>
        <v>61688.54</v>
      </c>
      <c r="AE176" s="12">
        <f>SUM(AE173:AE175)</f>
        <v>61438.54</v>
      </c>
      <c r="AF176" s="12">
        <f t="shared" ref="AF176:AO176" si="128">SUM(AF173:AF175)</f>
        <v>61438.54</v>
      </c>
      <c r="AG176" s="12">
        <f t="shared" si="128"/>
        <v>61438.54</v>
      </c>
      <c r="AH176" s="12">
        <f t="shared" si="128"/>
        <v>61438.54</v>
      </c>
      <c r="AI176" s="12">
        <f t="shared" si="128"/>
        <v>61438.54</v>
      </c>
      <c r="AJ176" s="12">
        <f t="shared" si="128"/>
        <v>61438.54</v>
      </c>
      <c r="AK176" s="12">
        <f t="shared" si="128"/>
        <v>61438.54</v>
      </c>
      <c r="AL176" s="12">
        <f t="shared" si="128"/>
        <v>61438.54</v>
      </c>
      <c r="AM176" s="12">
        <f t="shared" si="128"/>
        <v>61438.54</v>
      </c>
      <c r="AN176" s="12">
        <f t="shared" si="128"/>
        <v>61438.54</v>
      </c>
      <c r="AO176" s="57">
        <f t="shared" si="128"/>
        <v>61446.87</v>
      </c>
      <c r="AP176" s="12">
        <f>SUM(AP173:AP175)</f>
        <v>737520.81</v>
      </c>
    </row>
    <row r="177" spans="1:44" x14ac:dyDescent="0.3">
      <c r="C177" s="13"/>
    </row>
    <row r="178" spans="1:44" ht="15.5" x14ac:dyDescent="0.35">
      <c r="A178" s="18">
        <f>+A172+1</f>
        <v>24</v>
      </c>
      <c r="C178" s="22" t="s">
        <v>63</v>
      </c>
    </row>
    <row r="179" spans="1:44" x14ac:dyDescent="0.3">
      <c r="C179" s="6" t="s">
        <v>7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f>SUM(D179:O179)</f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>
        <f>SUM(Q179:AB179)</f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55">
        <v>0</v>
      </c>
      <c r="AP179" s="10">
        <f>SUM(AD179:AO179)</f>
        <v>0</v>
      </c>
    </row>
    <row r="180" spans="1:44" x14ac:dyDescent="0.3">
      <c r="C180" s="6" t="s">
        <v>8</v>
      </c>
      <c r="D180" s="9">
        <v>250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0">
        <f>SUM(D180:O180)</f>
        <v>250</v>
      </c>
      <c r="Q180" s="9">
        <v>250</v>
      </c>
      <c r="AC180" s="10">
        <f>SUM(Q180:AB180)</f>
        <v>250</v>
      </c>
      <c r="AD180" s="9">
        <v>250</v>
      </c>
      <c r="AE180" s="9"/>
      <c r="AF180" s="9"/>
      <c r="AG180" s="9"/>
      <c r="AH180" s="9"/>
      <c r="AI180" s="9"/>
      <c r="AJ180" s="9"/>
      <c r="AK180" s="9"/>
      <c r="AL180" s="9"/>
      <c r="AM180" s="9"/>
      <c r="AN180" s="23"/>
      <c r="AO180" s="56"/>
      <c r="AP180" s="10">
        <f>SUM(AD180:AO180)</f>
        <v>250</v>
      </c>
    </row>
    <row r="181" spans="1:44" ht="13.5" thickBot="1" x14ac:dyDescent="0.35">
      <c r="C181" s="6" t="s">
        <v>9</v>
      </c>
      <c r="D181" s="9">
        <f>49215+46837.41</f>
        <v>96052.41</v>
      </c>
      <c r="E181" s="9">
        <f>50888.33+45164.1</f>
        <v>96052.43</v>
      </c>
      <c r="F181" s="9">
        <f t="shared" ref="F181:Q181" si="129">50888.33+45164.1</f>
        <v>96052.43</v>
      </c>
      <c r="G181" s="9">
        <f t="shared" si="129"/>
        <v>96052.43</v>
      </c>
      <c r="H181" s="9">
        <f t="shared" si="129"/>
        <v>96052.43</v>
      </c>
      <c r="I181" s="9">
        <f t="shared" si="129"/>
        <v>96052.43</v>
      </c>
      <c r="J181" s="9">
        <f t="shared" si="129"/>
        <v>96052.43</v>
      </c>
      <c r="K181" s="9">
        <f t="shared" si="129"/>
        <v>96052.43</v>
      </c>
      <c r="L181" s="9">
        <f t="shared" si="129"/>
        <v>96052.43</v>
      </c>
      <c r="M181" s="9">
        <f t="shared" si="129"/>
        <v>96052.43</v>
      </c>
      <c r="N181" s="9">
        <f t="shared" si="129"/>
        <v>96052.43</v>
      </c>
      <c r="O181" s="9">
        <f t="shared" si="129"/>
        <v>96052.43</v>
      </c>
      <c r="P181" s="10">
        <f>SUM(D181:O181)</f>
        <v>1152629.1399999997</v>
      </c>
      <c r="Q181" s="9">
        <f t="shared" si="129"/>
        <v>96052.43</v>
      </c>
      <c r="R181" s="9">
        <f>52618.33+43433.9</f>
        <v>96052.23000000001</v>
      </c>
      <c r="S181" s="9">
        <f t="shared" ref="S181:AD181" si="130">52618.33+43433.9</f>
        <v>96052.23000000001</v>
      </c>
      <c r="T181" s="9">
        <f t="shared" si="130"/>
        <v>96052.23000000001</v>
      </c>
      <c r="U181" s="9">
        <f t="shared" si="130"/>
        <v>96052.23000000001</v>
      </c>
      <c r="V181" s="9">
        <f t="shared" si="130"/>
        <v>96052.23000000001</v>
      </c>
      <c r="W181" s="9">
        <f t="shared" si="130"/>
        <v>96052.23000000001</v>
      </c>
      <c r="X181" s="9">
        <f t="shared" si="130"/>
        <v>96052.23000000001</v>
      </c>
      <c r="Y181" s="9">
        <f t="shared" si="130"/>
        <v>96052.23000000001</v>
      </c>
      <c r="Z181" s="9">
        <f t="shared" si="130"/>
        <v>96052.23000000001</v>
      </c>
      <c r="AA181" s="9">
        <f t="shared" si="130"/>
        <v>96052.23000000001</v>
      </c>
      <c r="AB181" s="9">
        <f t="shared" si="130"/>
        <v>96052.23000000001</v>
      </c>
      <c r="AC181" s="10">
        <f>SUM(Q181:AB181)</f>
        <v>1152626.96</v>
      </c>
      <c r="AD181" s="9">
        <f t="shared" si="130"/>
        <v>96052.23000000001</v>
      </c>
      <c r="AE181" s="10">
        <f>54407.5+41644.87</f>
        <v>96052.37</v>
      </c>
      <c r="AF181" s="10">
        <f t="shared" ref="AF181:AO181" si="131">54407.5+41644.87</f>
        <v>96052.37</v>
      </c>
      <c r="AG181" s="10">
        <f t="shared" si="131"/>
        <v>96052.37</v>
      </c>
      <c r="AH181" s="10">
        <f t="shared" si="131"/>
        <v>96052.37</v>
      </c>
      <c r="AI181" s="10">
        <f t="shared" si="131"/>
        <v>96052.37</v>
      </c>
      <c r="AJ181" s="10">
        <f t="shared" si="131"/>
        <v>96052.37</v>
      </c>
      <c r="AK181" s="10">
        <f t="shared" si="131"/>
        <v>96052.37</v>
      </c>
      <c r="AL181" s="10">
        <f t="shared" si="131"/>
        <v>96052.37</v>
      </c>
      <c r="AM181" s="10">
        <f t="shared" si="131"/>
        <v>96052.37</v>
      </c>
      <c r="AN181" s="10">
        <f t="shared" si="131"/>
        <v>96052.37</v>
      </c>
      <c r="AO181" s="55">
        <f t="shared" si="131"/>
        <v>96052.37</v>
      </c>
      <c r="AP181" s="10">
        <f>SUM(AD181:AO181)</f>
        <v>1152628.2999999998</v>
      </c>
      <c r="AR181" s="33"/>
    </row>
    <row r="182" spans="1:44" ht="13.5" thickBot="1" x14ac:dyDescent="0.35">
      <c r="C182" s="11" t="s">
        <v>64</v>
      </c>
      <c r="D182" s="12">
        <f t="shared" ref="D182:O182" si="132">SUM(D179:D181)</f>
        <v>96302.41</v>
      </c>
      <c r="E182" s="12">
        <f t="shared" si="132"/>
        <v>96052.43</v>
      </c>
      <c r="F182" s="12">
        <f t="shared" si="132"/>
        <v>96052.43</v>
      </c>
      <c r="G182" s="12">
        <f t="shared" si="132"/>
        <v>96052.43</v>
      </c>
      <c r="H182" s="12">
        <f t="shared" si="132"/>
        <v>96052.43</v>
      </c>
      <c r="I182" s="12">
        <f t="shared" si="132"/>
        <v>96052.43</v>
      </c>
      <c r="J182" s="12">
        <f t="shared" si="132"/>
        <v>96052.43</v>
      </c>
      <c r="K182" s="12">
        <f t="shared" si="132"/>
        <v>96052.43</v>
      </c>
      <c r="L182" s="12">
        <f t="shared" si="132"/>
        <v>96052.43</v>
      </c>
      <c r="M182" s="12">
        <f t="shared" si="132"/>
        <v>96052.43</v>
      </c>
      <c r="N182" s="12">
        <f t="shared" si="132"/>
        <v>96052.43</v>
      </c>
      <c r="O182" s="12">
        <f t="shared" si="132"/>
        <v>96052.43</v>
      </c>
      <c r="P182" s="12">
        <f>SUM(P179:P181)</f>
        <v>1152879.1399999997</v>
      </c>
      <c r="Q182" s="12">
        <f t="shared" ref="Q182:AB182" si="133">SUM(Q179:Q181)</f>
        <v>96302.43</v>
      </c>
      <c r="R182" s="12">
        <f t="shared" si="133"/>
        <v>96052.23000000001</v>
      </c>
      <c r="S182" s="12">
        <f t="shared" si="133"/>
        <v>96052.23000000001</v>
      </c>
      <c r="T182" s="12">
        <f t="shared" si="133"/>
        <v>96052.23000000001</v>
      </c>
      <c r="U182" s="12">
        <f t="shared" si="133"/>
        <v>96052.23000000001</v>
      </c>
      <c r="V182" s="12">
        <f t="shared" si="133"/>
        <v>96052.23000000001</v>
      </c>
      <c r="W182" s="12">
        <f t="shared" si="133"/>
        <v>96052.23000000001</v>
      </c>
      <c r="X182" s="12">
        <f t="shared" si="133"/>
        <v>96052.23000000001</v>
      </c>
      <c r="Y182" s="12">
        <f t="shared" si="133"/>
        <v>96052.23000000001</v>
      </c>
      <c r="Z182" s="12">
        <f t="shared" si="133"/>
        <v>96052.23000000001</v>
      </c>
      <c r="AA182" s="12">
        <f t="shared" si="133"/>
        <v>96052.23000000001</v>
      </c>
      <c r="AB182" s="12">
        <f t="shared" si="133"/>
        <v>96052.23000000001</v>
      </c>
      <c r="AC182" s="12">
        <f>SUM(AC179:AC181)</f>
        <v>1152876.96</v>
      </c>
      <c r="AD182" s="12">
        <f>SUM(AD179:AD181)</f>
        <v>96302.23000000001</v>
      </c>
      <c r="AE182" s="12">
        <f>SUM(AE179:AE181)</f>
        <v>96052.37</v>
      </c>
      <c r="AF182" s="12">
        <f t="shared" ref="AF182:AO182" si="134">SUM(AF179:AF181)</f>
        <v>96052.37</v>
      </c>
      <c r="AG182" s="12">
        <f t="shared" si="134"/>
        <v>96052.37</v>
      </c>
      <c r="AH182" s="12">
        <f t="shared" si="134"/>
        <v>96052.37</v>
      </c>
      <c r="AI182" s="12">
        <f t="shared" si="134"/>
        <v>96052.37</v>
      </c>
      <c r="AJ182" s="12">
        <f t="shared" si="134"/>
        <v>96052.37</v>
      </c>
      <c r="AK182" s="12">
        <f t="shared" si="134"/>
        <v>96052.37</v>
      </c>
      <c r="AL182" s="12">
        <f t="shared" si="134"/>
        <v>96052.37</v>
      </c>
      <c r="AM182" s="12">
        <f t="shared" si="134"/>
        <v>96052.37</v>
      </c>
      <c r="AN182" s="12">
        <f t="shared" si="134"/>
        <v>96052.37</v>
      </c>
      <c r="AO182" s="57">
        <f t="shared" si="134"/>
        <v>96052.37</v>
      </c>
      <c r="AP182" s="12">
        <f>SUM(AP179:AP181)</f>
        <v>1152878.2999999998</v>
      </c>
    </row>
    <row r="183" spans="1:44" x14ac:dyDescent="0.3">
      <c r="C183" s="13"/>
    </row>
    <row r="184" spans="1:44" ht="15.5" x14ac:dyDescent="0.35">
      <c r="A184" s="1">
        <f>A178+1</f>
        <v>25</v>
      </c>
      <c r="B184" s="21"/>
      <c r="C184" s="22" t="s">
        <v>36</v>
      </c>
    </row>
    <row r="185" spans="1:44" x14ac:dyDescent="0.3">
      <c r="C185" s="6" t="s">
        <v>7</v>
      </c>
      <c r="D185" s="9">
        <v>232.5</v>
      </c>
      <c r="E185" s="9">
        <v>232.5</v>
      </c>
      <c r="F185" s="9">
        <v>232.5</v>
      </c>
      <c r="G185" s="9">
        <v>232.5</v>
      </c>
      <c r="H185" s="9">
        <v>232.5</v>
      </c>
      <c r="I185" s="9">
        <v>226.25</v>
      </c>
      <c r="J185" s="9">
        <v>226.25</v>
      </c>
      <c r="K185" s="9">
        <v>226.25</v>
      </c>
      <c r="L185" s="9">
        <v>226.25</v>
      </c>
      <c r="M185" s="9">
        <v>226.25</v>
      </c>
      <c r="N185" s="9">
        <v>226.25</v>
      </c>
      <c r="O185" s="9">
        <v>226.25</v>
      </c>
      <c r="P185" s="10">
        <f>SUM(D185:O185)</f>
        <v>2746.25</v>
      </c>
      <c r="Q185" s="9">
        <v>226.25</v>
      </c>
      <c r="R185" s="9">
        <v>226.25</v>
      </c>
      <c r="S185" s="9">
        <v>226.25</v>
      </c>
      <c r="T185" s="9">
        <v>226.25</v>
      </c>
      <c r="U185" s="9">
        <v>226.25</v>
      </c>
      <c r="V185" s="9">
        <v>220</v>
      </c>
      <c r="W185" s="9">
        <v>220</v>
      </c>
      <c r="X185" s="9">
        <v>220</v>
      </c>
      <c r="Y185" s="9">
        <v>220</v>
      </c>
      <c r="Z185" s="9">
        <v>220</v>
      </c>
      <c r="AA185" s="9">
        <v>220</v>
      </c>
      <c r="AB185" s="9">
        <v>220</v>
      </c>
      <c r="AC185" s="10">
        <f>SUM(Q185:AB185)</f>
        <v>2671.25</v>
      </c>
      <c r="AD185" s="9">
        <v>220</v>
      </c>
      <c r="AE185" s="9">
        <v>220</v>
      </c>
      <c r="AF185" s="9">
        <v>220</v>
      </c>
      <c r="AG185" s="9">
        <v>220</v>
      </c>
      <c r="AH185" s="9">
        <v>220</v>
      </c>
      <c r="AI185" s="10">
        <v>213.75</v>
      </c>
      <c r="AJ185" s="10">
        <v>213.75</v>
      </c>
      <c r="AK185" s="10">
        <v>213.75</v>
      </c>
      <c r="AL185" s="10">
        <v>213.75</v>
      </c>
      <c r="AM185" s="10">
        <v>213.75</v>
      </c>
      <c r="AN185" s="10">
        <v>213.75</v>
      </c>
      <c r="AO185" s="55">
        <v>213.75</v>
      </c>
      <c r="AP185" s="10">
        <f>SUM(AD185:AO185)</f>
        <v>2596.25</v>
      </c>
    </row>
    <row r="186" spans="1:44" x14ac:dyDescent="0.3">
      <c r="C186" s="6" t="s">
        <v>8</v>
      </c>
      <c r="D186" s="9">
        <v>250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10">
        <f>SUM(D186:O186)</f>
        <v>250</v>
      </c>
      <c r="Q186" s="9">
        <v>250</v>
      </c>
      <c r="AC186" s="10">
        <f>SUM(Q186:AB186)</f>
        <v>250</v>
      </c>
      <c r="AD186" s="9">
        <v>250</v>
      </c>
      <c r="AE186" s="9"/>
      <c r="AF186" s="9"/>
      <c r="AG186" s="9"/>
      <c r="AH186" s="9"/>
      <c r="AI186" s="9"/>
      <c r="AJ186" s="9"/>
      <c r="AK186" s="9"/>
      <c r="AL186" s="9"/>
      <c r="AM186" s="9"/>
      <c r="AN186" s="23"/>
      <c r="AO186" s="56"/>
      <c r="AP186" s="10">
        <f>SUM(AD186:AO186)</f>
        <v>250</v>
      </c>
    </row>
    <row r="187" spans="1:44" ht="13.5" thickBot="1" x14ac:dyDescent="0.35">
      <c r="C187" s="6" t="s">
        <v>9</v>
      </c>
      <c r="D187" s="9">
        <f>6250+8527.61</f>
        <v>14777.61</v>
      </c>
      <c r="E187" s="9">
        <f>6250+8527.61</f>
        <v>14777.61</v>
      </c>
      <c r="F187" s="9">
        <f>6250+8527.61</f>
        <v>14777.61</v>
      </c>
      <c r="G187" s="9">
        <f>6250+8527.61</f>
        <v>14777.61</v>
      </c>
      <c r="H187" s="9">
        <f>6250+8527.61</f>
        <v>14777.61</v>
      </c>
      <c r="I187" s="9">
        <f>6250+8527.58</f>
        <v>14777.58</v>
      </c>
      <c r="J187" s="9">
        <f>6250+8402.61</f>
        <v>14652.61</v>
      </c>
      <c r="K187" s="9">
        <f>6250+8402.61</f>
        <v>14652.61</v>
      </c>
      <c r="L187" s="9">
        <f>6250+8402.61</f>
        <v>14652.61</v>
      </c>
      <c r="M187" s="9">
        <f>6250+8402.61</f>
        <v>14652.61</v>
      </c>
      <c r="N187" s="9">
        <f>6250+8402.61</f>
        <v>14652.61</v>
      </c>
      <c r="O187" s="9">
        <f>6250+8402.58</f>
        <v>14652.58</v>
      </c>
      <c r="P187" s="10">
        <f>SUM(D187:O187)</f>
        <v>176581.25999999998</v>
      </c>
      <c r="Q187" s="9">
        <f>6250+8402.61</f>
        <v>14652.61</v>
      </c>
      <c r="R187" s="9">
        <f>6250+8402.61</f>
        <v>14652.61</v>
      </c>
      <c r="S187" s="9">
        <f>6250+8402.61</f>
        <v>14652.61</v>
      </c>
      <c r="T187" s="9">
        <f>6250+8402.61</f>
        <v>14652.61</v>
      </c>
      <c r="U187" s="9">
        <f>6250+8402.61</f>
        <v>14652.61</v>
      </c>
      <c r="V187" s="9">
        <f>6250+8402.58</f>
        <v>14652.58</v>
      </c>
      <c r="W187" s="9">
        <f>6250+8215.11</f>
        <v>14465.11</v>
      </c>
      <c r="X187" s="9">
        <f>6250+8215.11</f>
        <v>14465.11</v>
      </c>
      <c r="Y187" s="9">
        <f>6250+8215.11</f>
        <v>14465.11</v>
      </c>
      <c r="Z187" s="9">
        <f>6250+8215.11</f>
        <v>14465.11</v>
      </c>
      <c r="AA187" s="9">
        <f>6250+8215.11</f>
        <v>14465.11</v>
      </c>
      <c r="AB187" s="9">
        <f>6250+8215.08</f>
        <v>14465.08</v>
      </c>
      <c r="AC187" s="10">
        <f>SUM(Q187:AB187)</f>
        <v>174706.25999999998</v>
      </c>
      <c r="AD187" s="10">
        <f>6250+8215.11</f>
        <v>14465.11</v>
      </c>
      <c r="AE187" s="10">
        <f>6250+8215.11</f>
        <v>14465.11</v>
      </c>
      <c r="AF187" s="10">
        <f>6250+8215.11</f>
        <v>14465.11</v>
      </c>
      <c r="AG187" s="10">
        <f>6250+8215.11</f>
        <v>14465.11</v>
      </c>
      <c r="AH187" s="10">
        <f>6250+8215.11</f>
        <v>14465.11</v>
      </c>
      <c r="AI187" s="10">
        <f>6250+8215.08</f>
        <v>14465.08</v>
      </c>
      <c r="AJ187" s="10">
        <f>6666.67+8027.61</f>
        <v>14694.279999999999</v>
      </c>
      <c r="AK187" s="10">
        <f>6666.67+8027.61</f>
        <v>14694.279999999999</v>
      </c>
      <c r="AL187" s="10">
        <f>6666.67+8027.61</f>
        <v>14694.279999999999</v>
      </c>
      <c r="AM187" s="10">
        <f>6666.67+8027.61</f>
        <v>14694.279999999999</v>
      </c>
      <c r="AN187" s="10">
        <f>6666.67+8027.61</f>
        <v>14694.279999999999</v>
      </c>
      <c r="AO187" s="55">
        <f>6666.67+8027.58</f>
        <v>14694.25</v>
      </c>
      <c r="AP187" s="10">
        <f>SUM(AD187:AO187)</f>
        <v>174956.28</v>
      </c>
      <c r="AR187" s="33"/>
    </row>
    <row r="188" spans="1:44" ht="13.5" thickBot="1" x14ac:dyDescent="0.35">
      <c r="C188" s="11" t="s">
        <v>37</v>
      </c>
      <c r="D188" s="12">
        <f t="shared" ref="D188:O188" si="135">SUM(D185:D187)</f>
        <v>15260.11</v>
      </c>
      <c r="E188" s="12">
        <f t="shared" si="135"/>
        <v>15010.11</v>
      </c>
      <c r="F188" s="12">
        <f t="shared" si="135"/>
        <v>15010.11</v>
      </c>
      <c r="G188" s="12">
        <f t="shared" si="135"/>
        <v>15010.11</v>
      </c>
      <c r="H188" s="12">
        <f t="shared" si="135"/>
        <v>15010.11</v>
      </c>
      <c r="I188" s="12">
        <f t="shared" si="135"/>
        <v>15003.83</v>
      </c>
      <c r="J188" s="12">
        <f t="shared" si="135"/>
        <v>14878.86</v>
      </c>
      <c r="K188" s="12">
        <f t="shared" si="135"/>
        <v>14878.86</v>
      </c>
      <c r="L188" s="12">
        <f t="shared" si="135"/>
        <v>14878.86</v>
      </c>
      <c r="M188" s="12">
        <f t="shared" si="135"/>
        <v>14878.86</v>
      </c>
      <c r="N188" s="12">
        <f t="shared" si="135"/>
        <v>14878.86</v>
      </c>
      <c r="O188" s="12">
        <f t="shared" si="135"/>
        <v>14878.83</v>
      </c>
      <c r="P188" s="12">
        <f>SUM(P185:P187)</f>
        <v>179577.50999999998</v>
      </c>
      <c r="Q188" s="12">
        <f t="shared" ref="Q188:AB188" si="136">SUM(Q185:Q187)</f>
        <v>15128.86</v>
      </c>
      <c r="R188" s="12">
        <f t="shared" si="136"/>
        <v>14878.86</v>
      </c>
      <c r="S188" s="12">
        <f t="shared" si="136"/>
        <v>14878.86</v>
      </c>
      <c r="T188" s="12">
        <f t="shared" si="136"/>
        <v>14878.86</v>
      </c>
      <c r="U188" s="12">
        <f t="shared" si="136"/>
        <v>14878.86</v>
      </c>
      <c r="V188" s="12">
        <f t="shared" si="136"/>
        <v>14872.58</v>
      </c>
      <c r="W188" s="12">
        <f t="shared" si="136"/>
        <v>14685.11</v>
      </c>
      <c r="X188" s="12">
        <f t="shared" si="136"/>
        <v>14685.11</v>
      </c>
      <c r="Y188" s="12">
        <f t="shared" si="136"/>
        <v>14685.11</v>
      </c>
      <c r="Z188" s="12">
        <f t="shared" si="136"/>
        <v>14685.11</v>
      </c>
      <c r="AA188" s="12">
        <f t="shared" si="136"/>
        <v>14685.11</v>
      </c>
      <c r="AB188" s="12">
        <f t="shared" si="136"/>
        <v>14685.08</v>
      </c>
      <c r="AC188" s="12">
        <f>SUM(AC185:AC187)</f>
        <v>177627.50999999998</v>
      </c>
      <c r="AD188" s="12">
        <f>SUM(AD185:AD187)</f>
        <v>14935.11</v>
      </c>
      <c r="AE188" s="12">
        <f>SUM(AE185:AE187)</f>
        <v>14685.11</v>
      </c>
      <c r="AF188" s="12">
        <f t="shared" ref="AF188:AO188" si="137">SUM(AF185:AF187)</f>
        <v>14685.11</v>
      </c>
      <c r="AG188" s="12">
        <f t="shared" si="137"/>
        <v>14685.11</v>
      </c>
      <c r="AH188" s="12">
        <f t="shared" si="137"/>
        <v>14685.11</v>
      </c>
      <c r="AI188" s="12">
        <f t="shared" si="137"/>
        <v>14678.83</v>
      </c>
      <c r="AJ188" s="12">
        <f t="shared" si="137"/>
        <v>14908.029999999999</v>
      </c>
      <c r="AK188" s="12">
        <f t="shared" si="137"/>
        <v>14908.029999999999</v>
      </c>
      <c r="AL188" s="12">
        <f t="shared" si="137"/>
        <v>14908.029999999999</v>
      </c>
      <c r="AM188" s="12">
        <f t="shared" si="137"/>
        <v>14908.029999999999</v>
      </c>
      <c r="AN188" s="12">
        <f t="shared" si="137"/>
        <v>14908.029999999999</v>
      </c>
      <c r="AO188" s="57">
        <f t="shared" si="137"/>
        <v>14908</v>
      </c>
      <c r="AP188" s="12">
        <f>SUM(AP185:AP187)</f>
        <v>177802.53</v>
      </c>
    </row>
    <row r="189" spans="1:44" x14ac:dyDescent="0.3">
      <c r="C189" s="13"/>
    </row>
    <row r="190" spans="1:44" ht="15.5" x14ac:dyDescent="0.35">
      <c r="A190" s="1">
        <f>A184+1</f>
        <v>26</v>
      </c>
      <c r="B190" s="21"/>
      <c r="C190" s="22" t="s">
        <v>65</v>
      </c>
    </row>
    <row r="191" spans="1:44" x14ac:dyDescent="0.3">
      <c r="C191" s="6" t="s">
        <v>7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f>SUM(D191:O191)</f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f>SUM(Q191:AB191)</f>
        <v>0</v>
      </c>
      <c r="AD191" s="10">
        <v>0</v>
      </c>
      <c r="AE191" s="10">
        <v>0</v>
      </c>
      <c r="AF191" s="10">
        <v>0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0</v>
      </c>
      <c r="AN191" s="10">
        <v>0</v>
      </c>
      <c r="AO191" s="55">
        <v>0</v>
      </c>
      <c r="AP191" s="10">
        <f>SUM(AD191:AO191)</f>
        <v>0</v>
      </c>
    </row>
    <row r="192" spans="1:44" x14ac:dyDescent="0.3">
      <c r="C192" s="6" t="s">
        <v>8</v>
      </c>
      <c r="D192" s="9">
        <v>250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10">
        <f>SUM(D192:O192)</f>
        <v>250</v>
      </c>
      <c r="Q192" s="9">
        <v>250</v>
      </c>
      <c r="AC192" s="10">
        <f>SUM(Q192:AB192)</f>
        <v>250</v>
      </c>
      <c r="AD192" s="9">
        <v>250</v>
      </c>
      <c r="AE192" s="9"/>
      <c r="AF192" s="9"/>
      <c r="AG192" s="9"/>
      <c r="AH192" s="9"/>
      <c r="AI192" s="9"/>
      <c r="AJ192" s="9"/>
      <c r="AK192" s="9"/>
      <c r="AL192" s="9"/>
      <c r="AM192" s="9"/>
      <c r="AN192" s="23"/>
      <c r="AO192" s="56"/>
      <c r="AP192" s="10">
        <f>SUM(AD192:AO192)</f>
        <v>250</v>
      </c>
    </row>
    <row r="193" spans="1:44" ht="13.5" thickBot="1" x14ac:dyDescent="0.35">
      <c r="C193" s="6" t="s">
        <v>9</v>
      </c>
      <c r="D193" s="10">
        <v>32953.129999999997</v>
      </c>
      <c r="E193" s="10">
        <v>32953.129999999997</v>
      </c>
      <c r="F193" s="10">
        <v>32953.129999999997</v>
      </c>
      <c r="G193" s="10">
        <v>32953.129999999997</v>
      </c>
      <c r="H193" s="10">
        <v>32953.129999999997</v>
      </c>
      <c r="I193" s="10">
        <v>32953.129999999997</v>
      </c>
      <c r="J193" s="10">
        <v>32953.129999999997</v>
      </c>
      <c r="K193" s="10">
        <v>32953.129999999997</v>
      </c>
      <c r="L193" s="10">
        <v>32953.129999999997</v>
      </c>
      <c r="M193" s="10">
        <v>32953.129999999997</v>
      </c>
      <c r="N193" s="10">
        <v>32953.129999999997</v>
      </c>
      <c r="O193" s="10">
        <v>32953.129999999997</v>
      </c>
      <c r="P193" s="10">
        <f>SUM(D193:O193)</f>
        <v>395437.56</v>
      </c>
      <c r="Q193" s="10">
        <v>32953.129999999997</v>
      </c>
      <c r="R193" s="10">
        <v>32953.129999999997</v>
      </c>
      <c r="S193" s="10">
        <v>32953.129999999997</v>
      </c>
      <c r="T193" s="10">
        <v>32953.129999999997</v>
      </c>
      <c r="U193" s="10">
        <v>32953.129999999997</v>
      </c>
      <c r="V193" s="10">
        <v>32953.129999999997</v>
      </c>
      <c r="W193" s="10">
        <v>32953.129999999997</v>
      </c>
      <c r="X193" s="10">
        <v>32953.129999999997</v>
      </c>
      <c r="Y193" s="10">
        <v>32953.129999999997</v>
      </c>
      <c r="Z193" s="10">
        <v>32953.129999999997</v>
      </c>
      <c r="AA193" s="10">
        <f>12500+32953.13</f>
        <v>45453.13</v>
      </c>
      <c r="AB193" s="10">
        <f>12500+32953.13</f>
        <v>45453.13</v>
      </c>
      <c r="AC193" s="10">
        <f>SUM(Q193:AB193)</f>
        <v>420437.56</v>
      </c>
      <c r="AD193" s="10">
        <f t="shared" ref="AD193:AM193" si="138">12500+32953.13</f>
        <v>45453.13</v>
      </c>
      <c r="AE193" s="10">
        <f t="shared" si="138"/>
        <v>45453.13</v>
      </c>
      <c r="AF193" s="10">
        <f t="shared" si="138"/>
        <v>45453.13</v>
      </c>
      <c r="AG193" s="10">
        <f t="shared" si="138"/>
        <v>45453.13</v>
      </c>
      <c r="AH193" s="10">
        <f t="shared" si="138"/>
        <v>45453.13</v>
      </c>
      <c r="AI193" s="10">
        <f t="shared" si="138"/>
        <v>45453.13</v>
      </c>
      <c r="AJ193" s="10">
        <f t="shared" si="138"/>
        <v>45453.13</v>
      </c>
      <c r="AK193" s="10">
        <f t="shared" si="138"/>
        <v>45453.13</v>
      </c>
      <c r="AL193" s="10">
        <f t="shared" si="138"/>
        <v>45453.13</v>
      </c>
      <c r="AM193" s="10">
        <f t="shared" si="138"/>
        <v>45453.13</v>
      </c>
      <c r="AN193" s="10">
        <f>12916.67+32359.38</f>
        <v>45276.05</v>
      </c>
      <c r="AO193" s="55">
        <f>12916.67+32359.38</f>
        <v>45276.05</v>
      </c>
      <c r="AP193" s="10">
        <f>SUM(AD193:AO193)</f>
        <v>545083.4</v>
      </c>
      <c r="AR193" s="33"/>
    </row>
    <row r="194" spans="1:44" ht="13.5" thickBot="1" x14ac:dyDescent="0.35">
      <c r="C194" s="11" t="s">
        <v>66</v>
      </c>
      <c r="D194" s="12">
        <f t="shared" ref="D194:O194" si="139">SUM(D191:D193)</f>
        <v>33203.129999999997</v>
      </c>
      <c r="E194" s="12">
        <f t="shared" si="139"/>
        <v>32953.129999999997</v>
      </c>
      <c r="F194" s="12">
        <f t="shared" si="139"/>
        <v>32953.129999999997</v>
      </c>
      <c r="G194" s="12">
        <f t="shared" si="139"/>
        <v>32953.129999999997</v>
      </c>
      <c r="H194" s="12">
        <f t="shared" si="139"/>
        <v>32953.129999999997</v>
      </c>
      <c r="I194" s="12">
        <f t="shared" si="139"/>
        <v>32953.129999999997</v>
      </c>
      <c r="J194" s="12">
        <f t="shared" si="139"/>
        <v>32953.129999999997</v>
      </c>
      <c r="K194" s="12">
        <f t="shared" si="139"/>
        <v>32953.129999999997</v>
      </c>
      <c r="L194" s="12">
        <f t="shared" si="139"/>
        <v>32953.129999999997</v>
      </c>
      <c r="M194" s="12">
        <f t="shared" si="139"/>
        <v>32953.129999999997</v>
      </c>
      <c r="N194" s="12">
        <f t="shared" si="139"/>
        <v>32953.129999999997</v>
      </c>
      <c r="O194" s="12">
        <f t="shared" si="139"/>
        <v>32953.129999999997</v>
      </c>
      <c r="P194" s="12">
        <f>SUM(P191:P193)</f>
        <v>395687.56</v>
      </c>
      <c r="Q194" s="12">
        <f t="shared" ref="Q194:AB194" si="140">SUM(Q191:Q193)</f>
        <v>33203.129999999997</v>
      </c>
      <c r="R194" s="12">
        <f t="shared" si="140"/>
        <v>32953.129999999997</v>
      </c>
      <c r="S194" s="12">
        <f t="shared" si="140"/>
        <v>32953.129999999997</v>
      </c>
      <c r="T194" s="12">
        <f t="shared" si="140"/>
        <v>32953.129999999997</v>
      </c>
      <c r="U194" s="12">
        <f t="shared" si="140"/>
        <v>32953.129999999997</v>
      </c>
      <c r="V194" s="12">
        <f t="shared" si="140"/>
        <v>32953.129999999997</v>
      </c>
      <c r="W194" s="12">
        <f t="shared" si="140"/>
        <v>32953.129999999997</v>
      </c>
      <c r="X194" s="12">
        <f t="shared" si="140"/>
        <v>32953.129999999997</v>
      </c>
      <c r="Y194" s="12">
        <f t="shared" si="140"/>
        <v>32953.129999999997</v>
      </c>
      <c r="Z194" s="12">
        <f t="shared" si="140"/>
        <v>32953.129999999997</v>
      </c>
      <c r="AA194" s="12">
        <f t="shared" si="140"/>
        <v>45453.13</v>
      </c>
      <c r="AB194" s="12">
        <f t="shared" si="140"/>
        <v>45453.13</v>
      </c>
      <c r="AC194" s="12">
        <f>SUM(AC191:AC193)</f>
        <v>420687.56</v>
      </c>
      <c r="AD194" s="12">
        <f>SUM(AD191:AD193)</f>
        <v>45703.13</v>
      </c>
      <c r="AE194" s="12">
        <f>SUM(AE191:AE193)</f>
        <v>45453.13</v>
      </c>
      <c r="AF194" s="12">
        <f t="shared" ref="AF194:AO194" si="141">SUM(AF191:AF193)</f>
        <v>45453.13</v>
      </c>
      <c r="AG194" s="12">
        <f t="shared" si="141"/>
        <v>45453.13</v>
      </c>
      <c r="AH194" s="12">
        <f t="shared" si="141"/>
        <v>45453.13</v>
      </c>
      <c r="AI194" s="12">
        <f t="shared" si="141"/>
        <v>45453.13</v>
      </c>
      <c r="AJ194" s="12">
        <f t="shared" si="141"/>
        <v>45453.13</v>
      </c>
      <c r="AK194" s="12">
        <f t="shared" si="141"/>
        <v>45453.13</v>
      </c>
      <c r="AL194" s="12">
        <f t="shared" si="141"/>
        <v>45453.13</v>
      </c>
      <c r="AM194" s="12">
        <f t="shared" si="141"/>
        <v>45453.13</v>
      </c>
      <c r="AN194" s="12">
        <f t="shared" si="141"/>
        <v>45276.05</v>
      </c>
      <c r="AO194" s="57">
        <f t="shared" si="141"/>
        <v>45276.05</v>
      </c>
      <c r="AP194" s="12">
        <f>SUM(AP191:AP193)</f>
        <v>545333.4</v>
      </c>
    </row>
    <row r="195" spans="1:44" x14ac:dyDescent="0.3">
      <c r="C195" s="13"/>
    </row>
    <row r="196" spans="1:44" ht="15.5" x14ac:dyDescent="0.35">
      <c r="A196" s="1">
        <f>A190+1</f>
        <v>27</v>
      </c>
      <c r="B196" s="21"/>
      <c r="C196" s="22" t="s">
        <v>67</v>
      </c>
    </row>
    <row r="197" spans="1:44" x14ac:dyDescent="0.3">
      <c r="C197" s="6" t="s">
        <v>7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f>SUM(D197:O197)</f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f>SUM(Q197:AB197)</f>
        <v>0</v>
      </c>
      <c r="AD197" s="10">
        <v>0</v>
      </c>
      <c r="AE197" s="10">
        <v>0</v>
      </c>
      <c r="AF197" s="10">
        <v>0</v>
      </c>
      <c r="AG197" s="10">
        <v>0</v>
      </c>
      <c r="AH197" s="10">
        <v>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55">
        <v>0</v>
      </c>
      <c r="AP197" s="10">
        <f>SUM(AD197:AO197)</f>
        <v>0</v>
      </c>
    </row>
    <row r="198" spans="1:44" x14ac:dyDescent="0.3">
      <c r="C198" s="6" t="s">
        <v>8</v>
      </c>
      <c r="D198" s="9">
        <v>250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10">
        <f>SUM(D198:O198)</f>
        <v>250</v>
      </c>
      <c r="Q198" s="9">
        <v>250</v>
      </c>
      <c r="AC198" s="10">
        <f>SUM(Q198:AB198)</f>
        <v>250</v>
      </c>
      <c r="AD198" s="9">
        <v>250</v>
      </c>
      <c r="AE198" s="9"/>
      <c r="AF198" s="9"/>
      <c r="AG198" s="9"/>
      <c r="AH198" s="9"/>
      <c r="AI198" s="9"/>
      <c r="AJ198" s="9"/>
      <c r="AK198" s="9"/>
      <c r="AL198" s="9"/>
      <c r="AM198" s="9"/>
      <c r="AN198" s="23"/>
      <c r="AO198" s="56"/>
      <c r="AP198" s="10">
        <f>SUM(AD198:AO198)</f>
        <v>250</v>
      </c>
    </row>
    <row r="199" spans="1:44" ht="13.5" thickBot="1" x14ac:dyDescent="0.35">
      <c r="C199" s="6" t="s">
        <v>9</v>
      </c>
      <c r="D199" s="9">
        <f t="shared" ref="D199:M199" si="142">1666.67+6362.5</f>
        <v>8029.17</v>
      </c>
      <c r="E199" s="9">
        <f t="shared" si="142"/>
        <v>8029.17</v>
      </c>
      <c r="F199" s="9">
        <f t="shared" si="142"/>
        <v>8029.17</v>
      </c>
      <c r="G199" s="9">
        <f t="shared" si="142"/>
        <v>8029.17</v>
      </c>
      <c r="H199" s="9">
        <f t="shared" si="142"/>
        <v>8029.17</v>
      </c>
      <c r="I199" s="9">
        <f t="shared" si="142"/>
        <v>8029.17</v>
      </c>
      <c r="J199" s="9">
        <f t="shared" si="142"/>
        <v>8029.17</v>
      </c>
      <c r="K199" s="9">
        <f t="shared" si="142"/>
        <v>8029.17</v>
      </c>
      <c r="L199" s="9">
        <f t="shared" si="142"/>
        <v>8029.17</v>
      </c>
      <c r="M199" s="9">
        <f t="shared" si="142"/>
        <v>8029.17</v>
      </c>
      <c r="N199" s="9">
        <f>1666.63+6362.5</f>
        <v>8029.13</v>
      </c>
      <c r="O199" s="9">
        <f>2083.33+6275</f>
        <v>8358.33</v>
      </c>
      <c r="P199" s="10">
        <f>SUM(D199:O199)</f>
        <v>96679.16</v>
      </c>
      <c r="Q199" s="9">
        <f t="shared" ref="Q199:Z199" si="143">2083.33+6275</f>
        <v>8358.33</v>
      </c>
      <c r="R199" s="9">
        <f t="shared" si="143"/>
        <v>8358.33</v>
      </c>
      <c r="S199" s="9">
        <f t="shared" si="143"/>
        <v>8358.33</v>
      </c>
      <c r="T199" s="9">
        <f t="shared" si="143"/>
        <v>8358.33</v>
      </c>
      <c r="U199" s="9">
        <f t="shared" si="143"/>
        <v>8358.33</v>
      </c>
      <c r="V199" s="9">
        <f t="shared" si="143"/>
        <v>8358.33</v>
      </c>
      <c r="W199" s="9">
        <f t="shared" si="143"/>
        <v>8358.33</v>
      </c>
      <c r="X199" s="9">
        <f t="shared" si="143"/>
        <v>8358.33</v>
      </c>
      <c r="Y199" s="9">
        <f t="shared" si="143"/>
        <v>8358.33</v>
      </c>
      <c r="Z199" s="9">
        <f t="shared" si="143"/>
        <v>8358.33</v>
      </c>
      <c r="AA199" s="9">
        <f>2083.37+6275</f>
        <v>8358.369999999999</v>
      </c>
      <c r="AB199" s="9">
        <f>2083.33+6165.63</f>
        <v>8248.9599999999991</v>
      </c>
      <c r="AC199" s="10">
        <f>SUM(Q199:AB199)</f>
        <v>100190.63</v>
      </c>
      <c r="AD199" s="9">
        <f t="shared" ref="AD199:AM199" si="144">2083.33+6165.63</f>
        <v>8248.9599999999991</v>
      </c>
      <c r="AE199" s="9">
        <f t="shared" si="144"/>
        <v>8248.9599999999991</v>
      </c>
      <c r="AF199" s="9">
        <f t="shared" si="144"/>
        <v>8248.9599999999991</v>
      </c>
      <c r="AG199" s="9">
        <f t="shared" si="144"/>
        <v>8248.9599999999991</v>
      </c>
      <c r="AH199" s="9">
        <f>2083.33+6165.6</f>
        <v>8248.93</v>
      </c>
      <c r="AI199" s="9">
        <f t="shared" si="144"/>
        <v>8248.9599999999991</v>
      </c>
      <c r="AJ199" s="9">
        <f t="shared" si="144"/>
        <v>8248.9599999999991</v>
      </c>
      <c r="AK199" s="9">
        <f t="shared" si="144"/>
        <v>8248.9599999999991</v>
      </c>
      <c r="AL199" s="9">
        <f t="shared" si="144"/>
        <v>8248.9599999999991</v>
      </c>
      <c r="AM199" s="9">
        <f t="shared" si="144"/>
        <v>8248.9599999999991</v>
      </c>
      <c r="AN199" s="23">
        <f>2083.37+6165.6</f>
        <v>8248.9700000000012</v>
      </c>
      <c r="AO199" s="55">
        <f>2083.33+6056.25</f>
        <v>8139.58</v>
      </c>
      <c r="AP199" s="10">
        <f>SUM(AD199:AO199)</f>
        <v>98878.119999999981</v>
      </c>
      <c r="AR199" s="33"/>
    </row>
    <row r="200" spans="1:44" ht="13.5" thickBot="1" x14ac:dyDescent="0.35">
      <c r="C200" s="11" t="s">
        <v>68</v>
      </c>
      <c r="D200" s="12">
        <f t="shared" ref="D200:O200" si="145">SUM(D197:D199)</f>
        <v>8279.17</v>
      </c>
      <c r="E200" s="12">
        <f t="shared" si="145"/>
        <v>8029.17</v>
      </c>
      <c r="F200" s="12">
        <f t="shared" si="145"/>
        <v>8029.17</v>
      </c>
      <c r="G200" s="12">
        <f t="shared" si="145"/>
        <v>8029.17</v>
      </c>
      <c r="H200" s="12">
        <f t="shared" si="145"/>
        <v>8029.17</v>
      </c>
      <c r="I200" s="12">
        <f t="shared" si="145"/>
        <v>8029.17</v>
      </c>
      <c r="J200" s="12">
        <f t="shared" si="145"/>
        <v>8029.17</v>
      </c>
      <c r="K200" s="12">
        <f t="shared" si="145"/>
        <v>8029.17</v>
      </c>
      <c r="L200" s="12">
        <f t="shared" si="145"/>
        <v>8029.17</v>
      </c>
      <c r="M200" s="12">
        <f t="shared" si="145"/>
        <v>8029.17</v>
      </c>
      <c r="N200" s="12">
        <f t="shared" si="145"/>
        <v>8029.13</v>
      </c>
      <c r="O200" s="12">
        <f t="shared" si="145"/>
        <v>8358.33</v>
      </c>
      <c r="P200" s="12">
        <f>SUM(P197:P199)</f>
        <v>96929.16</v>
      </c>
      <c r="Q200" s="12">
        <f t="shared" ref="Q200:AB200" si="146">SUM(Q197:Q199)</f>
        <v>8608.33</v>
      </c>
      <c r="R200" s="12">
        <f t="shared" si="146"/>
        <v>8358.33</v>
      </c>
      <c r="S200" s="12">
        <f t="shared" si="146"/>
        <v>8358.33</v>
      </c>
      <c r="T200" s="12">
        <f t="shared" si="146"/>
        <v>8358.33</v>
      </c>
      <c r="U200" s="12">
        <f t="shared" si="146"/>
        <v>8358.33</v>
      </c>
      <c r="V200" s="12">
        <f t="shared" si="146"/>
        <v>8358.33</v>
      </c>
      <c r="W200" s="12">
        <f t="shared" si="146"/>
        <v>8358.33</v>
      </c>
      <c r="X200" s="12">
        <f t="shared" si="146"/>
        <v>8358.33</v>
      </c>
      <c r="Y200" s="12">
        <f t="shared" si="146"/>
        <v>8358.33</v>
      </c>
      <c r="Z200" s="12">
        <f t="shared" si="146"/>
        <v>8358.33</v>
      </c>
      <c r="AA200" s="12">
        <f t="shared" si="146"/>
        <v>8358.369999999999</v>
      </c>
      <c r="AB200" s="12">
        <f t="shared" si="146"/>
        <v>8248.9599999999991</v>
      </c>
      <c r="AC200" s="12">
        <f>SUM(AC197:AC199)</f>
        <v>100440.63</v>
      </c>
      <c r="AD200" s="12">
        <f>SUM(AD197:AD199)</f>
        <v>8498.9599999999991</v>
      </c>
      <c r="AE200" s="12">
        <f>SUM(AE197:AE199)</f>
        <v>8248.9599999999991</v>
      </c>
      <c r="AF200" s="12">
        <f t="shared" ref="AF200:AO200" si="147">SUM(AF197:AF199)</f>
        <v>8248.9599999999991</v>
      </c>
      <c r="AG200" s="12">
        <f t="shared" si="147"/>
        <v>8248.9599999999991</v>
      </c>
      <c r="AH200" s="12">
        <f t="shared" si="147"/>
        <v>8248.93</v>
      </c>
      <c r="AI200" s="12">
        <f t="shared" si="147"/>
        <v>8248.9599999999991</v>
      </c>
      <c r="AJ200" s="12">
        <f t="shared" si="147"/>
        <v>8248.9599999999991</v>
      </c>
      <c r="AK200" s="12">
        <f t="shared" si="147"/>
        <v>8248.9599999999991</v>
      </c>
      <c r="AL200" s="12">
        <f t="shared" si="147"/>
        <v>8248.9599999999991</v>
      </c>
      <c r="AM200" s="12">
        <f t="shared" si="147"/>
        <v>8248.9599999999991</v>
      </c>
      <c r="AN200" s="12">
        <f t="shared" si="147"/>
        <v>8248.9700000000012</v>
      </c>
      <c r="AO200" s="57">
        <f t="shared" si="147"/>
        <v>8139.58</v>
      </c>
      <c r="AP200" s="12">
        <f>SUM(AP197:AP199)</f>
        <v>99128.119999999981</v>
      </c>
    </row>
    <row r="201" spans="1:44" x14ac:dyDescent="0.3">
      <c r="C201" s="13"/>
    </row>
    <row r="202" spans="1:44" ht="15.5" x14ac:dyDescent="0.35">
      <c r="A202" s="1">
        <f>A196+1</f>
        <v>28</v>
      </c>
      <c r="B202" s="21"/>
      <c r="C202" s="22" t="s">
        <v>69</v>
      </c>
    </row>
    <row r="203" spans="1:44" x14ac:dyDescent="0.3">
      <c r="C203" s="6" t="s">
        <v>7</v>
      </c>
      <c r="D203" s="9">
        <v>1482.92</v>
      </c>
      <c r="E203" s="9">
        <v>1482.92</v>
      </c>
      <c r="F203" s="9">
        <v>1482.92</v>
      </c>
      <c r="G203" s="9">
        <v>1482.92</v>
      </c>
      <c r="H203" s="9">
        <v>1482.92</v>
      </c>
      <c r="I203" s="9">
        <v>1482.92</v>
      </c>
      <c r="J203" s="9">
        <v>1482.92</v>
      </c>
      <c r="K203" s="9">
        <v>1482.92</v>
      </c>
      <c r="L203" s="9">
        <v>1452.08</v>
      </c>
      <c r="M203" s="9">
        <v>1452.08</v>
      </c>
      <c r="N203" s="9">
        <v>1452.08</v>
      </c>
      <c r="O203" s="9">
        <v>1452.08</v>
      </c>
      <c r="P203" s="10">
        <f>SUM(D203:O203)</f>
        <v>17671.68</v>
      </c>
      <c r="Q203" s="9">
        <v>1452.08</v>
      </c>
      <c r="R203" s="9">
        <v>1452.08</v>
      </c>
      <c r="S203" s="9">
        <v>1452.08</v>
      </c>
      <c r="T203" s="9">
        <v>1452.08</v>
      </c>
      <c r="U203" s="9">
        <v>1452.08</v>
      </c>
      <c r="V203" s="9">
        <v>1452.08</v>
      </c>
      <c r="W203" s="9">
        <v>1452.08</v>
      </c>
      <c r="X203" s="9">
        <v>1452.08</v>
      </c>
      <c r="Y203" s="9">
        <v>1420</v>
      </c>
      <c r="Z203" s="9">
        <v>1420</v>
      </c>
      <c r="AA203" s="9">
        <v>1420</v>
      </c>
      <c r="AB203" s="9">
        <v>1420</v>
      </c>
      <c r="AC203" s="10">
        <f>SUM(Q203:AB203)</f>
        <v>17296.64</v>
      </c>
      <c r="AD203" s="9">
        <v>1420</v>
      </c>
      <c r="AE203" s="9">
        <v>1420</v>
      </c>
      <c r="AF203" s="9">
        <v>1420</v>
      </c>
      <c r="AG203" s="9">
        <v>1420</v>
      </c>
      <c r="AH203" s="9">
        <v>1420</v>
      </c>
      <c r="AI203" s="9">
        <v>1420</v>
      </c>
      <c r="AJ203" s="9">
        <v>1420</v>
      </c>
      <c r="AK203" s="9">
        <v>1420</v>
      </c>
      <c r="AL203" s="10">
        <v>1386.67</v>
      </c>
      <c r="AM203" s="10">
        <v>1386.67</v>
      </c>
      <c r="AN203" s="10">
        <v>1386.67</v>
      </c>
      <c r="AO203" s="55">
        <v>1386.67</v>
      </c>
      <c r="AP203" s="10">
        <f>SUM(AD203:AO203)</f>
        <v>16906.68</v>
      </c>
    </row>
    <row r="204" spans="1:44" x14ac:dyDescent="0.3">
      <c r="C204" s="6" t="s">
        <v>8</v>
      </c>
      <c r="D204" s="9">
        <v>250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0">
        <f>SUM(D204:O204)</f>
        <v>250</v>
      </c>
      <c r="Q204" s="9">
        <v>250</v>
      </c>
      <c r="AC204" s="10">
        <f>SUM(Q204:AB204)</f>
        <v>250</v>
      </c>
      <c r="AD204" s="9">
        <v>250</v>
      </c>
      <c r="AE204" s="9"/>
      <c r="AF204" s="9"/>
      <c r="AG204" s="9"/>
      <c r="AH204" s="9"/>
      <c r="AI204" s="9"/>
      <c r="AJ204" s="9"/>
      <c r="AK204" s="9"/>
      <c r="AL204" s="9"/>
      <c r="AM204" s="9"/>
      <c r="AN204" s="23"/>
      <c r="AO204" s="56"/>
      <c r="AP204" s="10">
        <f>SUM(AD204:AO204)</f>
        <v>250</v>
      </c>
    </row>
    <row r="205" spans="1:44" ht="13.5" thickBot="1" x14ac:dyDescent="0.35">
      <c r="C205" s="6" t="s">
        <v>9</v>
      </c>
      <c r="D205" s="9">
        <f>32083.33+63825</f>
        <v>95908.33</v>
      </c>
      <c r="E205" s="9">
        <f t="shared" ref="E205:N205" si="148">32083.33+63825</f>
        <v>95908.33</v>
      </c>
      <c r="F205" s="9">
        <f t="shared" si="148"/>
        <v>95908.33</v>
      </c>
      <c r="G205" s="9">
        <f t="shared" si="148"/>
        <v>95908.33</v>
      </c>
      <c r="H205" s="9">
        <f t="shared" si="148"/>
        <v>95908.33</v>
      </c>
      <c r="I205" s="9">
        <f t="shared" si="148"/>
        <v>95908.33</v>
      </c>
      <c r="J205" s="9">
        <f t="shared" si="148"/>
        <v>95908.33</v>
      </c>
      <c r="K205" s="9">
        <f t="shared" si="148"/>
        <v>95908.33</v>
      </c>
      <c r="L205" s="9">
        <f t="shared" si="148"/>
        <v>95908.33</v>
      </c>
      <c r="M205" s="9">
        <f t="shared" si="148"/>
        <v>95908.33</v>
      </c>
      <c r="N205" s="9">
        <f t="shared" si="148"/>
        <v>95908.33</v>
      </c>
      <c r="O205" s="9">
        <f>32083.37+63825</f>
        <v>95908.37</v>
      </c>
      <c r="P205" s="10">
        <f>SUM(D205:O205)</f>
        <v>1150900</v>
      </c>
      <c r="Q205" s="9">
        <f>33333.33+62541.67</f>
        <v>95875</v>
      </c>
      <c r="R205" s="9">
        <f t="shared" ref="R205:AA205" si="149">33333.33+62541.67</f>
        <v>95875</v>
      </c>
      <c r="S205" s="9">
        <f t="shared" si="149"/>
        <v>95875</v>
      </c>
      <c r="T205" s="9">
        <f t="shared" si="149"/>
        <v>95875</v>
      </c>
      <c r="U205" s="9">
        <f t="shared" si="149"/>
        <v>95875</v>
      </c>
      <c r="V205" s="9">
        <f>33333.33+62541.65</f>
        <v>95874.98000000001</v>
      </c>
      <c r="W205" s="9">
        <f t="shared" si="149"/>
        <v>95875</v>
      </c>
      <c r="X205" s="9">
        <f t="shared" si="149"/>
        <v>95875</v>
      </c>
      <c r="Y205" s="9">
        <f t="shared" si="149"/>
        <v>95875</v>
      </c>
      <c r="Z205" s="9">
        <f t="shared" si="149"/>
        <v>95875</v>
      </c>
      <c r="AA205" s="9">
        <f t="shared" si="149"/>
        <v>95875</v>
      </c>
      <c r="AB205" s="9">
        <f>33333.37+62541.65</f>
        <v>95875.02</v>
      </c>
      <c r="AC205" s="10">
        <f>SUM(Q205:AB205)</f>
        <v>1150500</v>
      </c>
      <c r="AD205" s="10">
        <f>34583.33+61208.33</f>
        <v>95791.66</v>
      </c>
      <c r="AE205" s="10">
        <f t="shared" ref="AE205:AN205" si="150">34583.33+61208.33</f>
        <v>95791.66</v>
      </c>
      <c r="AF205" s="10">
        <f t="shared" si="150"/>
        <v>95791.66</v>
      </c>
      <c r="AG205" s="10">
        <f t="shared" si="150"/>
        <v>95791.66</v>
      </c>
      <c r="AH205" s="10">
        <f t="shared" si="150"/>
        <v>95791.66</v>
      </c>
      <c r="AI205" s="10">
        <f>34583.33+61208.35</f>
        <v>95791.679999999993</v>
      </c>
      <c r="AJ205" s="10">
        <f t="shared" si="150"/>
        <v>95791.66</v>
      </c>
      <c r="AK205" s="10">
        <f t="shared" si="150"/>
        <v>95791.66</v>
      </c>
      <c r="AL205" s="10">
        <f t="shared" si="150"/>
        <v>95791.66</v>
      </c>
      <c r="AM205" s="10">
        <f t="shared" si="150"/>
        <v>95791.66</v>
      </c>
      <c r="AN205" s="10">
        <f t="shared" si="150"/>
        <v>95791.66</v>
      </c>
      <c r="AO205" s="55">
        <f>34583.37+61208.35</f>
        <v>95791.72</v>
      </c>
      <c r="AP205" s="10">
        <f>SUM(AD205:AO205)</f>
        <v>1149500</v>
      </c>
      <c r="AR205" s="33"/>
    </row>
    <row r="206" spans="1:44" ht="13.5" thickBot="1" x14ac:dyDescent="0.35">
      <c r="C206" s="11" t="s">
        <v>70</v>
      </c>
      <c r="D206" s="12">
        <f t="shared" ref="D206:O206" si="151">SUM(D203:D205)</f>
        <v>97641.25</v>
      </c>
      <c r="E206" s="12">
        <f t="shared" si="151"/>
        <v>97391.25</v>
      </c>
      <c r="F206" s="12">
        <f t="shared" si="151"/>
        <v>97391.25</v>
      </c>
      <c r="G206" s="12">
        <f t="shared" si="151"/>
        <v>97391.25</v>
      </c>
      <c r="H206" s="12">
        <f t="shared" si="151"/>
        <v>97391.25</v>
      </c>
      <c r="I206" s="12">
        <f t="shared" si="151"/>
        <v>97391.25</v>
      </c>
      <c r="J206" s="12">
        <f t="shared" si="151"/>
        <v>97391.25</v>
      </c>
      <c r="K206" s="12">
        <f t="shared" si="151"/>
        <v>97391.25</v>
      </c>
      <c r="L206" s="12">
        <f t="shared" si="151"/>
        <v>97360.41</v>
      </c>
      <c r="M206" s="12">
        <f t="shared" si="151"/>
        <v>97360.41</v>
      </c>
      <c r="N206" s="12">
        <f t="shared" si="151"/>
        <v>97360.41</v>
      </c>
      <c r="O206" s="12">
        <f t="shared" si="151"/>
        <v>97360.45</v>
      </c>
      <c r="P206" s="12">
        <f>SUM(P203:P205)</f>
        <v>1168821.68</v>
      </c>
      <c r="Q206" s="12">
        <f t="shared" ref="Q206:AB206" si="152">SUM(Q203:Q205)</f>
        <v>97577.08</v>
      </c>
      <c r="R206" s="12">
        <f t="shared" si="152"/>
        <v>97327.08</v>
      </c>
      <c r="S206" s="12">
        <f t="shared" si="152"/>
        <v>97327.08</v>
      </c>
      <c r="T206" s="12">
        <f t="shared" si="152"/>
        <v>97327.08</v>
      </c>
      <c r="U206" s="12">
        <f t="shared" si="152"/>
        <v>97327.08</v>
      </c>
      <c r="V206" s="12">
        <f t="shared" si="152"/>
        <v>97327.060000000012</v>
      </c>
      <c r="W206" s="12">
        <f t="shared" si="152"/>
        <v>97327.08</v>
      </c>
      <c r="X206" s="12">
        <f t="shared" si="152"/>
        <v>97327.08</v>
      </c>
      <c r="Y206" s="12">
        <f t="shared" si="152"/>
        <v>97295</v>
      </c>
      <c r="Z206" s="12">
        <f t="shared" si="152"/>
        <v>97295</v>
      </c>
      <c r="AA206" s="12">
        <f t="shared" si="152"/>
        <v>97295</v>
      </c>
      <c r="AB206" s="12">
        <f t="shared" si="152"/>
        <v>97295.02</v>
      </c>
      <c r="AC206" s="12">
        <f>SUM(AC203:AC205)</f>
        <v>1168046.6399999999</v>
      </c>
      <c r="AD206" s="12">
        <f>SUM(AD203:AD205)</f>
        <v>97461.66</v>
      </c>
      <c r="AE206" s="12">
        <f>SUM(AE203:AE205)</f>
        <v>97211.66</v>
      </c>
      <c r="AF206" s="12">
        <f t="shared" ref="AF206:AO206" si="153">SUM(AF203:AF205)</f>
        <v>97211.66</v>
      </c>
      <c r="AG206" s="12">
        <f t="shared" si="153"/>
        <v>97211.66</v>
      </c>
      <c r="AH206" s="12">
        <f t="shared" si="153"/>
        <v>97211.66</v>
      </c>
      <c r="AI206" s="12">
        <f t="shared" si="153"/>
        <v>97211.68</v>
      </c>
      <c r="AJ206" s="12">
        <f t="shared" si="153"/>
        <v>97211.66</v>
      </c>
      <c r="AK206" s="12">
        <f t="shared" si="153"/>
        <v>97211.66</v>
      </c>
      <c r="AL206" s="12">
        <f t="shared" si="153"/>
        <v>97178.33</v>
      </c>
      <c r="AM206" s="12">
        <f t="shared" si="153"/>
        <v>97178.33</v>
      </c>
      <c r="AN206" s="12">
        <f t="shared" si="153"/>
        <v>97178.33</v>
      </c>
      <c r="AO206" s="57">
        <f t="shared" si="153"/>
        <v>97178.39</v>
      </c>
      <c r="AP206" s="12">
        <f>SUM(AP203:AP205)</f>
        <v>1166656.68</v>
      </c>
    </row>
    <row r="207" spans="1:44" x14ac:dyDescent="0.3">
      <c r="C207" s="13"/>
    </row>
    <row r="208" spans="1:44" ht="15.5" x14ac:dyDescent="0.35">
      <c r="B208" s="24" t="s">
        <v>5</v>
      </c>
      <c r="C208" s="8" t="s">
        <v>71</v>
      </c>
    </row>
    <row r="209" spans="1:44" x14ac:dyDescent="0.3">
      <c r="C209" s="6" t="s">
        <v>7</v>
      </c>
      <c r="D209" s="10">
        <v>0</v>
      </c>
      <c r="E209" s="10">
        <v>0</v>
      </c>
      <c r="F209" s="10"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>
        <f>SUM(D209:O209)</f>
        <v>0</v>
      </c>
    </row>
    <row r="210" spans="1:44" x14ac:dyDescent="0.3">
      <c r="C210" s="6" t="s">
        <v>8</v>
      </c>
      <c r="D210" s="9">
        <v>250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10">
        <f>SUM(D210:O210)</f>
        <v>250</v>
      </c>
    </row>
    <row r="211" spans="1:44" ht="13.5" thickBot="1" x14ac:dyDescent="0.35">
      <c r="C211" s="6" t="s">
        <v>9</v>
      </c>
      <c r="D211" s="10">
        <v>50618.29</v>
      </c>
      <c r="E211" s="10">
        <v>50618.29</v>
      </c>
      <c r="F211" s="10">
        <v>50618.29</v>
      </c>
      <c r="G211" s="10"/>
      <c r="H211" s="10"/>
      <c r="I211" s="10"/>
      <c r="J211" s="10"/>
      <c r="K211" s="10"/>
      <c r="L211" s="10"/>
      <c r="M211" s="10"/>
      <c r="N211" s="9"/>
      <c r="O211" s="9"/>
      <c r="P211" s="10">
        <f>SUM(D211:O211)</f>
        <v>151854.87</v>
      </c>
    </row>
    <row r="212" spans="1:44" ht="13.5" thickBot="1" x14ac:dyDescent="0.35">
      <c r="C212" s="11" t="s">
        <v>72</v>
      </c>
      <c r="D212" s="12">
        <f t="shared" ref="D212:O212" si="154">SUM(D209:D211)</f>
        <v>50868.29</v>
      </c>
      <c r="E212" s="12">
        <f t="shared" si="154"/>
        <v>50618.29</v>
      </c>
      <c r="F212" s="12">
        <f t="shared" si="154"/>
        <v>50618.29</v>
      </c>
      <c r="G212" s="12">
        <f t="shared" si="154"/>
        <v>0</v>
      </c>
      <c r="H212" s="12">
        <f t="shared" si="154"/>
        <v>0</v>
      </c>
      <c r="I212" s="12">
        <f t="shared" si="154"/>
        <v>0</v>
      </c>
      <c r="J212" s="12">
        <f t="shared" si="154"/>
        <v>0</v>
      </c>
      <c r="K212" s="12">
        <f t="shared" si="154"/>
        <v>0</v>
      </c>
      <c r="L212" s="12">
        <f t="shared" si="154"/>
        <v>0</v>
      </c>
      <c r="M212" s="12">
        <f t="shared" si="154"/>
        <v>0</v>
      </c>
      <c r="N212" s="12">
        <f t="shared" si="154"/>
        <v>0</v>
      </c>
      <c r="O212" s="12">
        <f t="shared" si="154"/>
        <v>0</v>
      </c>
      <c r="P212" s="12">
        <f>SUM(P209:P211)</f>
        <v>152104.87</v>
      </c>
    </row>
    <row r="213" spans="1:44" x14ac:dyDescent="0.3">
      <c r="C213" s="13"/>
    </row>
    <row r="214" spans="1:44" ht="15.5" x14ac:dyDescent="0.35">
      <c r="A214" s="1">
        <f>A202+1</f>
        <v>29</v>
      </c>
      <c r="B214" s="21"/>
      <c r="C214" s="22" t="s">
        <v>73</v>
      </c>
    </row>
    <row r="215" spans="1:44" x14ac:dyDescent="0.3">
      <c r="C215" s="6" t="s">
        <v>7</v>
      </c>
      <c r="D215" s="9">
        <v>1938.75</v>
      </c>
      <c r="E215" s="9">
        <v>1938.75</v>
      </c>
      <c r="F215" s="9">
        <v>1938.75</v>
      </c>
      <c r="G215" s="9">
        <v>1938.75</v>
      </c>
      <c r="H215" s="9">
        <v>1938.75</v>
      </c>
      <c r="I215" s="9">
        <v>1938.75</v>
      </c>
      <c r="J215" s="9">
        <v>1938.75</v>
      </c>
      <c r="K215" s="9">
        <v>1938.75</v>
      </c>
      <c r="L215" s="9">
        <v>1938.75</v>
      </c>
      <c r="M215" s="9">
        <v>1938.75</v>
      </c>
      <c r="N215" s="9">
        <v>1895.83</v>
      </c>
      <c r="O215" s="9">
        <v>1895.83</v>
      </c>
      <c r="P215" s="10">
        <f>SUM(D215:O215)</f>
        <v>23179.160000000003</v>
      </c>
      <c r="Q215" s="9">
        <v>1895.83</v>
      </c>
      <c r="R215" s="9">
        <v>1895.83</v>
      </c>
      <c r="S215" s="9">
        <v>1895.83</v>
      </c>
      <c r="T215" s="9">
        <v>1895.83</v>
      </c>
      <c r="U215" s="9">
        <v>1895.83</v>
      </c>
      <c r="V215" s="9">
        <v>1895.83</v>
      </c>
      <c r="W215" s="9">
        <v>1895.83</v>
      </c>
      <c r="X215" s="9">
        <v>1895.83</v>
      </c>
      <c r="Y215" s="9">
        <v>1895.83</v>
      </c>
      <c r="Z215" s="9">
        <v>1895.83</v>
      </c>
      <c r="AA215" s="9">
        <v>1851.67</v>
      </c>
      <c r="AB215" s="9">
        <v>1851.67</v>
      </c>
      <c r="AC215" s="10">
        <f>SUM(Q215:AB215)</f>
        <v>22661.64</v>
      </c>
      <c r="AD215" s="9">
        <v>1851.67</v>
      </c>
      <c r="AE215" s="9">
        <v>1851.67</v>
      </c>
      <c r="AF215" s="9">
        <v>1851.67</v>
      </c>
      <c r="AG215" s="9">
        <v>1851.67</v>
      </c>
      <c r="AH215" s="9">
        <v>1851.67</v>
      </c>
      <c r="AI215" s="9">
        <v>1851.67</v>
      </c>
      <c r="AJ215" s="9">
        <v>1851.67</v>
      </c>
      <c r="AK215" s="9">
        <v>1851.67</v>
      </c>
      <c r="AL215" s="9">
        <v>1851.67</v>
      </c>
      <c r="AM215" s="9">
        <v>1851.67</v>
      </c>
      <c r="AN215" s="10">
        <v>1805.42</v>
      </c>
      <c r="AO215" s="55">
        <v>1805.42</v>
      </c>
      <c r="AP215" s="10">
        <f>SUM(AD215:AO215)</f>
        <v>22127.539999999994</v>
      </c>
    </row>
    <row r="216" spans="1:44" x14ac:dyDescent="0.3">
      <c r="C216" s="6" t="s">
        <v>8</v>
      </c>
      <c r="D216" s="9">
        <v>250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10">
        <f>SUM(D216:O216)</f>
        <v>250</v>
      </c>
      <c r="Q216" s="9">
        <v>250</v>
      </c>
      <c r="AC216" s="10">
        <f>SUM(Q216:AB216)</f>
        <v>250</v>
      </c>
      <c r="AD216" s="9">
        <v>250</v>
      </c>
      <c r="AE216" s="9"/>
      <c r="AF216" s="9"/>
      <c r="AG216" s="9"/>
      <c r="AH216" s="9"/>
      <c r="AI216" s="9"/>
      <c r="AJ216" s="9"/>
      <c r="AK216" s="9"/>
      <c r="AL216" s="9"/>
      <c r="AM216" s="9"/>
      <c r="AN216" s="23"/>
      <c r="AO216" s="56"/>
      <c r="AP216" s="10">
        <f>SUM(AD216:AO216)</f>
        <v>250</v>
      </c>
    </row>
    <row r="217" spans="1:44" ht="13.5" thickBot="1" x14ac:dyDescent="0.35">
      <c r="C217" s="6" t="s">
        <v>9</v>
      </c>
      <c r="D217" s="9">
        <f t="shared" ref="D217:M217" si="155">42916.67+76108.33</f>
        <v>119025</v>
      </c>
      <c r="E217" s="9">
        <f t="shared" si="155"/>
        <v>119025</v>
      </c>
      <c r="F217" s="9">
        <f t="shared" si="155"/>
        <v>119025</v>
      </c>
      <c r="G217" s="9">
        <f t="shared" si="155"/>
        <v>119025</v>
      </c>
      <c r="H217" s="9">
        <f>42916.67+76108.35</f>
        <v>119025.02</v>
      </c>
      <c r="I217" s="9">
        <f t="shared" si="155"/>
        <v>119025</v>
      </c>
      <c r="J217" s="9">
        <f t="shared" si="155"/>
        <v>119025</v>
      </c>
      <c r="K217" s="9">
        <f t="shared" si="155"/>
        <v>119025</v>
      </c>
      <c r="L217" s="9">
        <f t="shared" si="155"/>
        <v>119025</v>
      </c>
      <c r="M217" s="9">
        <f t="shared" si="155"/>
        <v>119025</v>
      </c>
      <c r="N217" s="9">
        <f>42916.63+76108.35</f>
        <v>119024.98000000001</v>
      </c>
      <c r="O217" s="9">
        <f>44166.67+74391.67</f>
        <v>118558.34</v>
      </c>
      <c r="P217" s="10">
        <f>SUM(D217:O217)</f>
        <v>1427833.34</v>
      </c>
      <c r="Q217" s="9">
        <f t="shared" ref="Q217:Z217" si="156">44166.67+74391.67</f>
        <v>118558.34</v>
      </c>
      <c r="R217" s="9">
        <f t="shared" si="156"/>
        <v>118558.34</v>
      </c>
      <c r="S217" s="9">
        <f t="shared" si="156"/>
        <v>118558.34</v>
      </c>
      <c r="T217" s="9">
        <f t="shared" si="156"/>
        <v>118558.34</v>
      </c>
      <c r="U217" s="9">
        <f>44166.67+74391.65</f>
        <v>118558.31999999999</v>
      </c>
      <c r="V217" s="9">
        <f t="shared" si="156"/>
        <v>118558.34</v>
      </c>
      <c r="W217" s="9">
        <f t="shared" si="156"/>
        <v>118558.34</v>
      </c>
      <c r="X217" s="9">
        <f t="shared" si="156"/>
        <v>118558.34</v>
      </c>
      <c r="Y217" s="9">
        <f t="shared" si="156"/>
        <v>118558.34</v>
      </c>
      <c r="Z217" s="9">
        <f t="shared" si="156"/>
        <v>118558.34</v>
      </c>
      <c r="AA217" s="9">
        <f>44166.63+74391.65</f>
        <v>118558.28</v>
      </c>
      <c r="AB217" s="9">
        <f>46250+72625</f>
        <v>118875</v>
      </c>
      <c r="AC217" s="10">
        <f>SUM(Q217:AB217)</f>
        <v>1423016.66</v>
      </c>
      <c r="AD217" s="9">
        <f t="shared" ref="AD217:AN217" si="157">46250+72625</f>
        <v>118875</v>
      </c>
      <c r="AE217" s="9">
        <f t="shared" si="157"/>
        <v>118875</v>
      </c>
      <c r="AF217" s="9">
        <f t="shared" si="157"/>
        <v>118875</v>
      </c>
      <c r="AG217" s="9">
        <f t="shared" si="157"/>
        <v>118875</v>
      </c>
      <c r="AH217" s="9">
        <f t="shared" si="157"/>
        <v>118875</v>
      </c>
      <c r="AI217" s="9">
        <f t="shared" si="157"/>
        <v>118875</v>
      </c>
      <c r="AJ217" s="9">
        <f t="shared" si="157"/>
        <v>118875</v>
      </c>
      <c r="AK217" s="9">
        <f t="shared" si="157"/>
        <v>118875</v>
      </c>
      <c r="AL217" s="9">
        <f t="shared" si="157"/>
        <v>118875</v>
      </c>
      <c r="AM217" s="9">
        <f t="shared" si="157"/>
        <v>118875</v>
      </c>
      <c r="AN217" s="23">
        <f t="shared" si="157"/>
        <v>118875</v>
      </c>
      <c r="AO217" s="55">
        <f>47916.67+70775</f>
        <v>118691.67</v>
      </c>
      <c r="AP217" s="10">
        <f>SUM(AD217:AO217)</f>
        <v>1426316.67</v>
      </c>
      <c r="AR217" s="33"/>
    </row>
    <row r="218" spans="1:44" ht="13.5" thickBot="1" x14ac:dyDescent="0.35">
      <c r="C218" s="11" t="s">
        <v>74</v>
      </c>
      <c r="D218" s="12">
        <f t="shared" ref="D218:O218" si="158">SUM(D215:D217)</f>
        <v>121213.75</v>
      </c>
      <c r="E218" s="12">
        <f t="shared" si="158"/>
        <v>120963.75</v>
      </c>
      <c r="F218" s="12">
        <f t="shared" si="158"/>
        <v>120963.75</v>
      </c>
      <c r="G218" s="12">
        <f t="shared" si="158"/>
        <v>120963.75</v>
      </c>
      <c r="H218" s="12">
        <f t="shared" si="158"/>
        <v>120963.77</v>
      </c>
      <c r="I218" s="12">
        <f t="shared" si="158"/>
        <v>120963.75</v>
      </c>
      <c r="J218" s="12">
        <f t="shared" si="158"/>
        <v>120963.75</v>
      </c>
      <c r="K218" s="12">
        <f t="shared" si="158"/>
        <v>120963.75</v>
      </c>
      <c r="L218" s="12">
        <f t="shared" si="158"/>
        <v>120963.75</v>
      </c>
      <c r="M218" s="12">
        <f t="shared" si="158"/>
        <v>120963.75</v>
      </c>
      <c r="N218" s="12">
        <f t="shared" si="158"/>
        <v>120920.81000000001</v>
      </c>
      <c r="O218" s="12">
        <f t="shared" si="158"/>
        <v>120454.17</v>
      </c>
      <c r="P218" s="12">
        <f>SUM(P215:P217)</f>
        <v>1451262.5</v>
      </c>
      <c r="Q218" s="12">
        <f t="shared" ref="Q218:AB218" si="159">SUM(Q215:Q217)</f>
        <v>120704.17</v>
      </c>
      <c r="R218" s="12">
        <f t="shared" si="159"/>
        <v>120454.17</v>
      </c>
      <c r="S218" s="12">
        <f t="shared" si="159"/>
        <v>120454.17</v>
      </c>
      <c r="T218" s="12">
        <f t="shared" si="159"/>
        <v>120454.17</v>
      </c>
      <c r="U218" s="12">
        <f t="shared" si="159"/>
        <v>120454.15</v>
      </c>
      <c r="V218" s="12">
        <f t="shared" si="159"/>
        <v>120454.17</v>
      </c>
      <c r="W218" s="12">
        <f t="shared" si="159"/>
        <v>120454.17</v>
      </c>
      <c r="X218" s="12">
        <f t="shared" si="159"/>
        <v>120454.17</v>
      </c>
      <c r="Y218" s="12">
        <f t="shared" si="159"/>
        <v>120454.17</v>
      </c>
      <c r="Z218" s="12">
        <f t="shared" si="159"/>
        <v>120454.17</v>
      </c>
      <c r="AA218" s="12">
        <f t="shared" si="159"/>
        <v>120409.95</v>
      </c>
      <c r="AB218" s="12">
        <f t="shared" si="159"/>
        <v>120726.67</v>
      </c>
      <c r="AC218" s="12">
        <f>SUM(AC215:AC217)</f>
        <v>1445928.2999999998</v>
      </c>
      <c r="AD218" s="12">
        <f>SUM(AD215:AD217)</f>
        <v>120976.67</v>
      </c>
      <c r="AE218" s="12">
        <f>SUM(AE215:AE217)</f>
        <v>120726.67</v>
      </c>
      <c r="AF218" s="12">
        <f t="shared" ref="AF218:AO218" si="160">SUM(AF215:AF217)</f>
        <v>120726.67</v>
      </c>
      <c r="AG218" s="12">
        <f t="shared" si="160"/>
        <v>120726.67</v>
      </c>
      <c r="AH218" s="12">
        <f t="shared" si="160"/>
        <v>120726.67</v>
      </c>
      <c r="AI218" s="12">
        <f t="shared" si="160"/>
        <v>120726.67</v>
      </c>
      <c r="AJ218" s="12">
        <f t="shared" si="160"/>
        <v>120726.67</v>
      </c>
      <c r="AK218" s="12">
        <f t="shared" si="160"/>
        <v>120726.67</v>
      </c>
      <c r="AL218" s="12">
        <f t="shared" si="160"/>
        <v>120726.67</v>
      </c>
      <c r="AM218" s="12">
        <f t="shared" si="160"/>
        <v>120726.67</v>
      </c>
      <c r="AN218" s="12">
        <f t="shared" si="160"/>
        <v>120680.42</v>
      </c>
      <c r="AO218" s="57">
        <f t="shared" si="160"/>
        <v>120497.09</v>
      </c>
      <c r="AP218" s="12">
        <f>SUM(AP215:AP217)</f>
        <v>1448694.21</v>
      </c>
    </row>
    <row r="219" spans="1:44" x14ac:dyDescent="0.3">
      <c r="C219" s="13"/>
    </row>
    <row r="220" spans="1:44" ht="15.5" x14ac:dyDescent="0.35">
      <c r="A220" s="1">
        <f>A214+1</f>
        <v>30</v>
      </c>
      <c r="B220" s="21"/>
      <c r="C220" s="22" t="s">
        <v>75</v>
      </c>
    </row>
    <row r="221" spans="1:44" x14ac:dyDescent="0.3">
      <c r="C221" s="6" t="s">
        <v>7</v>
      </c>
      <c r="D221" s="9">
        <v>435.42</v>
      </c>
      <c r="E221" s="9">
        <v>435.42</v>
      </c>
      <c r="F221" s="9">
        <v>435.42</v>
      </c>
      <c r="G221" s="9">
        <v>435.42</v>
      </c>
      <c r="H221" s="9">
        <v>435.42</v>
      </c>
      <c r="I221" s="9">
        <v>435.42</v>
      </c>
      <c r="J221" s="9">
        <v>435.42</v>
      </c>
      <c r="K221" s="9">
        <v>435.42</v>
      </c>
      <c r="L221" s="9">
        <v>435.42</v>
      </c>
      <c r="M221" s="9">
        <v>435.42</v>
      </c>
      <c r="N221" s="9">
        <v>415.83</v>
      </c>
      <c r="O221" s="9">
        <v>415.83</v>
      </c>
      <c r="P221" s="10">
        <f>SUM(D221:O221)</f>
        <v>5185.8599999999997</v>
      </c>
      <c r="Q221" s="9">
        <v>415.83</v>
      </c>
      <c r="R221" s="9">
        <v>415.83</v>
      </c>
      <c r="S221" s="9">
        <v>415.83</v>
      </c>
      <c r="T221" s="9">
        <v>415.83</v>
      </c>
      <c r="U221" s="9">
        <v>415.83</v>
      </c>
      <c r="V221" s="9">
        <v>415.83</v>
      </c>
      <c r="W221" s="9">
        <v>415.83</v>
      </c>
      <c r="X221" s="9">
        <v>415.83</v>
      </c>
      <c r="Y221" s="9">
        <v>415.83</v>
      </c>
      <c r="Z221" s="9">
        <v>415.83</v>
      </c>
      <c r="AA221" s="9">
        <v>395.42</v>
      </c>
      <c r="AB221" s="9">
        <v>395.42</v>
      </c>
      <c r="AC221" s="10">
        <f>SUM(Q221:AB221)</f>
        <v>4949.1400000000003</v>
      </c>
      <c r="AD221" s="9">
        <v>395.42</v>
      </c>
      <c r="AE221" s="9">
        <v>395.42</v>
      </c>
      <c r="AF221" s="9">
        <v>395.42</v>
      </c>
      <c r="AG221" s="9">
        <v>395.42</v>
      </c>
      <c r="AH221" s="9">
        <v>395.42</v>
      </c>
      <c r="AI221" s="9">
        <v>395.42</v>
      </c>
      <c r="AJ221" s="9">
        <v>395.42</v>
      </c>
      <c r="AK221" s="9">
        <v>395.42</v>
      </c>
      <c r="AL221" s="9">
        <v>395.42</v>
      </c>
      <c r="AM221" s="9">
        <v>395.42</v>
      </c>
      <c r="AN221" s="10">
        <v>374.17</v>
      </c>
      <c r="AO221" s="55">
        <v>374.17</v>
      </c>
      <c r="AP221" s="10">
        <f>SUM(AD221:AO221)</f>
        <v>4702.54</v>
      </c>
    </row>
    <row r="222" spans="1:44" x14ac:dyDescent="0.3">
      <c r="C222" s="6" t="s">
        <v>8</v>
      </c>
      <c r="D222" s="9">
        <v>250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10">
        <f>SUM(D222:O222)</f>
        <v>250</v>
      </c>
      <c r="Q222" s="9">
        <v>250</v>
      </c>
      <c r="AC222" s="10">
        <f>SUM(Q222:AB222)</f>
        <v>250</v>
      </c>
      <c r="AD222" s="9">
        <v>250</v>
      </c>
      <c r="AE222" s="9"/>
      <c r="AF222" s="9"/>
      <c r="AG222" s="9"/>
      <c r="AH222" s="9"/>
      <c r="AI222" s="9"/>
      <c r="AJ222" s="9"/>
      <c r="AK222" s="9"/>
      <c r="AL222" s="9"/>
      <c r="AM222" s="9"/>
      <c r="AN222" s="23"/>
      <c r="AO222" s="56"/>
      <c r="AP222" s="10">
        <f>SUM(AD222:AO222)</f>
        <v>250</v>
      </c>
    </row>
    <row r="223" spans="1:44" ht="13.5" thickBot="1" x14ac:dyDescent="0.35">
      <c r="C223" s="6" t="s">
        <v>9</v>
      </c>
      <c r="D223" s="9">
        <f>19583.33+17270.83</f>
        <v>36854.160000000003</v>
      </c>
      <c r="E223" s="9">
        <f>19583.33+17270.83</f>
        <v>36854.160000000003</v>
      </c>
      <c r="F223" s="9">
        <f>19583.33+17270.83</f>
        <v>36854.160000000003</v>
      </c>
      <c r="G223" s="9">
        <f>19583.33+17270.83</f>
        <v>36854.160000000003</v>
      </c>
      <c r="H223" s="9">
        <f>19583.37+17270.85</f>
        <v>36854.22</v>
      </c>
      <c r="I223" s="9">
        <f>20416.67+16487.5</f>
        <v>36904.17</v>
      </c>
      <c r="J223" s="9">
        <f t="shared" ref="J223:T223" si="161">20416.67+16487.5</f>
        <v>36904.17</v>
      </c>
      <c r="K223" s="9">
        <f t="shared" si="161"/>
        <v>36904.17</v>
      </c>
      <c r="L223" s="9">
        <f t="shared" si="161"/>
        <v>36904.17</v>
      </c>
      <c r="M223" s="9">
        <f t="shared" si="161"/>
        <v>36904.17</v>
      </c>
      <c r="N223" s="9">
        <f t="shared" si="161"/>
        <v>36904.17</v>
      </c>
      <c r="O223" s="9">
        <f t="shared" si="161"/>
        <v>36904.17</v>
      </c>
      <c r="P223" s="10">
        <f>SUM(D223:O223)</f>
        <v>442600.04999999993</v>
      </c>
      <c r="Q223" s="9">
        <f t="shared" si="161"/>
        <v>36904.17</v>
      </c>
      <c r="R223" s="9">
        <f t="shared" si="161"/>
        <v>36904.17</v>
      </c>
      <c r="S223" s="9">
        <f t="shared" si="161"/>
        <v>36904.17</v>
      </c>
      <c r="T223" s="9">
        <f t="shared" si="161"/>
        <v>36904.17</v>
      </c>
      <c r="U223" s="9">
        <f>20416.63+16487.5</f>
        <v>36904.130000000005</v>
      </c>
      <c r="V223" s="9">
        <f>21250+15670.83</f>
        <v>36920.83</v>
      </c>
      <c r="W223" s="9">
        <f t="shared" ref="W223:AG223" si="162">21250+15670.83</f>
        <v>36920.83</v>
      </c>
      <c r="X223" s="9">
        <f t="shared" si="162"/>
        <v>36920.83</v>
      </c>
      <c r="Y223" s="9">
        <f t="shared" si="162"/>
        <v>36920.83</v>
      </c>
      <c r="Z223" s="9">
        <f t="shared" si="162"/>
        <v>36920.83</v>
      </c>
      <c r="AA223" s="9">
        <f>21250+15670.85</f>
        <v>36920.85</v>
      </c>
      <c r="AB223" s="9">
        <f t="shared" si="162"/>
        <v>36920.83</v>
      </c>
      <c r="AC223" s="10">
        <f>SUM(Q223:AB223)</f>
        <v>442966.64000000007</v>
      </c>
      <c r="AD223" s="9">
        <f t="shared" si="162"/>
        <v>36920.83</v>
      </c>
      <c r="AE223" s="9">
        <f t="shared" si="162"/>
        <v>36920.83</v>
      </c>
      <c r="AF223" s="9">
        <f t="shared" si="162"/>
        <v>36920.83</v>
      </c>
      <c r="AG223" s="9">
        <f t="shared" si="162"/>
        <v>36920.83</v>
      </c>
      <c r="AH223" s="9">
        <f>21250+15670.85</f>
        <v>36920.85</v>
      </c>
      <c r="AI223" s="10">
        <f>22083.33+14820.83</f>
        <v>36904.160000000003</v>
      </c>
      <c r="AJ223" s="10">
        <f t="shared" ref="AJ223:AO223" si="163">22083.33+14820.83</f>
        <v>36904.160000000003</v>
      </c>
      <c r="AK223" s="10">
        <f t="shared" si="163"/>
        <v>36904.160000000003</v>
      </c>
      <c r="AL223" s="10">
        <f t="shared" si="163"/>
        <v>36904.160000000003</v>
      </c>
      <c r="AM223" s="10">
        <f t="shared" si="163"/>
        <v>36904.160000000003</v>
      </c>
      <c r="AN223" s="10">
        <f>22083.33+14820.85</f>
        <v>36904.18</v>
      </c>
      <c r="AO223" s="55">
        <f t="shared" si="163"/>
        <v>36904.160000000003</v>
      </c>
      <c r="AP223" s="10">
        <f>SUM(AD223:AO223)</f>
        <v>442933.31000000006</v>
      </c>
      <c r="AR223" s="33"/>
    </row>
    <row r="224" spans="1:44" ht="13.5" thickBot="1" x14ac:dyDescent="0.35">
      <c r="C224" s="11" t="s">
        <v>76</v>
      </c>
      <c r="D224" s="12">
        <f t="shared" ref="D224:O224" si="164">SUM(D221:D223)</f>
        <v>37539.58</v>
      </c>
      <c r="E224" s="12">
        <f t="shared" si="164"/>
        <v>37289.58</v>
      </c>
      <c r="F224" s="12">
        <f t="shared" si="164"/>
        <v>37289.58</v>
      </c>
      <c r="G224" s="12">
        <f t="shared" si="164"/>
        <v>37289.58</v>
      </c>
      <c r="H224" s="12">
        <f t="shared" si="164"/>
        <v>37289.64</v>
      </c>
      <c r="I224" s="12">
        <f t="shared" si="164"/>
        <v>37339.589999999997</v>
      </c>
      <c r="J224" s="12">
        <f t="shared" si="164"/>
        <v>37339.589999999997</v>
      </c>
      <c r="K224" s="12">
        <f t="shared" si="164"/>
        <v>37339.589999999997</v>
      </c>
      <c r="L224" s="12">
        <f t="shared" si="164"/>
        <v>37339.589999999997</v>
      </c>
      <c r="M224" s="12">
        <f t="shared" si="164"/>
        <v>37339.589999999997</v>
      </c>
      <c r="N224" s="12">
        <f t="shared" si="164"/>
        <v>37320</v>
      </c>
      <c r="O224" s="12">
        <f t="shared" si="164"/>
        <v>37320</v>
      </c>
      <c r="P224" s="12">
        <f>SUM(P221:P223)</f>
        <v>448035.90999999992</v>
      </c>
      <c r="Q224" s="12">
        <f t="shared" ref="Q224:AB224" si="165">SUM(Q221:Q223)</f>
        <v>37570</v>
      </c>
      <c r="R224" s="12">
        <f t="shared" si="165"/>
        <v>37320</v>
      </c>
      <c r="S224" s="12">
        <f t="shared" si="165"/>
        <v>37320</v>
      </c>
      <c r="T224" s="12">
        <f t="shared" si="165"/>
        <v>37320</v>
      </c>
      <c r="U224" s="12">
        <f t="shared" si="165"/>
        <v>37319.960000000006</v>
      </c>
      <c r="V224" s="12">
        <f t="shared" si="165"/>
        <v>37336.660000000003</v>
      </c>
      <c r="W224" s="12">
        <f t="shared" si="165"/>
        <v>37336.660000000003</v>
      </c>
      <c r="X224" s="12">
        <f t="shared" si="165"/>
        <v>37336.660000000003</v>
      </c>
      <c r="Y224" s="12">
        <f t="shared" si="165"/>
        <v>37336.660000000003</v>
      </c>
      <c r="Z224" s="12">
        <f t="shared" si="165"/>
        <v>37336.660000000003</v>
      </c>
      <c r="AA224" s="12">
        <f t="shared" si="165"/>
        <v>37316.269999999997</v>
      </c>
      <c r="AB224" s="12">
        <f t="shared" si="165"/>
        <v>37316.25</v>
      </c>
      <c r="AC224" s="12">
        <f>SUM(AC221:AC223)</f>
        <v>448165.78000000009</v>
      </c>
      <c r="AD224" s="12">
        <f>SUM(AD221:AD223)</f>
        <v>37566.25</v>
      </c>
      <c r="AE224" s="12">
        <f>SUM(AE221:AE223)</f>
        <v>37316.25</v>
      </c>
      <c r="AF224" s="12">
        <f t="shared" ref="AF224:AO224" si="166">SUM(AF221:AF223)</f>
        <v>37316.25</v>
      </c>
      <c r="AG224" s="12">
        <f t="shared" si="166"/>
        <v>37316.25</v>
      </c>
      <c r="AH224" s="12">
        <f t="shared" si="166"/>
        <v>37316.269999999997</v>
      </c>
      <c r="AI224" s="12">
        <f t="shared" si="166"/>
        <v>37299.58</v>
      </c>
      <c r="AJ224" s="12">
        <f t="shared" si="166"/>
        <v>37299.58</v>
      </c>
      <c r="AK224" s="12">
        <f t="shared" si="166"/>
        <v>37299.58</v>
      </c>
      <c r="AL224" s="12">
        <f t="shared" si="166"/>
        <v>37299.58</v>
      </c>
      <c r="AM224" s="12">
        <f t="shared" si="166"/>
        <v>37299.58</v>
      </c>
      <c r="AN224" s="12">
        <f t="shared" si="166"/>
        <v>37278.35</v>
      </c>
      <c r="AO224" s="57">
        <f t="shared" si="166"/>
        <v>37278.33</v>
      </c>
      <c r="AP224" s="12">
        <f>SUM(AP221:AP223)</f>
        <v>447885.85000000003</v>
      </c>
    </row>
    <row r="225" spans="1:44" x14ac:dyDescent="0.3">
      <c r="C225" s="13"/>
    </row>
    <row r="226" spans="1:44" ht="15.5" x14ac:dyDescent="0.35">
      <c r="A226" s="1">
        <f>A220+1</f>
        <v>31</v>
      </c>
      <c r="B226" s="21"/>
      <c r="C226" s="22" t="s">
        <v>77</v>
      </c>
    </row>
    <row r="227" spans="1:44" x14ac:dyDescent="0.3">
      <c r="C227" s="6" t="s">
        <v>7</v>
      </c>
      <c r="D227" s="10">
        <v>1027.08</v>
      </c>
      <c r="E227" s="10">
        <v>1027.08</v>
      </c>
      <c r="F227" s="10">
        <v>1027.08</v>
      </c>
      <c r="G227" s="10">
        <v>1027.08</v>
      </c>
      <c r="H227" s="10">
        <v>1027.08</v>
      </c>
      <c r="I227" s="10">
        <v>1027.08</v>
      </c>
      <c r="J227" s="10">
        <v>1027.08</v>
      </c>
      <c r="K227" s="10">
        <v>1027.08</v>
      </c>
      <c r="L227" s="10">
        <v>1027.08</v>
      </c>
      <c r="M227" s="10">
        <v>1027.08</v>
      </c>
      <c r="N227" s="10">
        <v>1027.08</v>
      </c>
      <c r="O227" s="9">
        <v>1005</v>
      </c>
      <c r="P227" s="10">
        <f>SUM(D227:O227)</f>
        <v>12302.88</v>
      </c>
      <c r="Q227" s="9">
        <v>1005</v>
      </c>
      <c r="R227" s="9">
        <v>1005</v>
      </c>
      <c r="S227" s="9">
        <v>1005</v>
      </c>
      <c r="T227" s="9">
        <v>1005</v>
      </c>
      <c r="U227" s="9">
        <v>1005</v>
      </c>
      <c r="V227" s="9">
        <v>1005</v>
      </c>
      <c r="W227" s="9">
        <v>1005</v>
      </c>
      <c r="X227" s="9">
        <v>1005</v>
      </c>
      <c r="Y227" s="9">
        <v>1005</v>
      </c>
      <c r="Z227" s="9">
        <v>1005</v>
      </c>
      <c r="AA227" s="9">
        <v>1005</v>
      </c>
      <c r="AB227" s="9">
        <v>982.08</v>
      </c>
      <c r="AC227" s="10">
        <f>SUM(Q227:AB227)</f>
        <v>12037.08</v>
      </c>
      <c r="AD227" s="9">
        <v>982.08</v>
      </c>
      <c r="AE227" s="9">
        <v>982.08</v>
      </c>
      <c r="AF227" s="9">
        <v>982.08</v>
      </c>
      <c r="AG227" s="9">
        <v>982.08</v>
      </c>
      <c r="AH227" s="9">
        <v>982.08</v>
      </c>
      <c r="AI227" s="9">
        <v>982.08</v>
      </c>
      <c r="AJ227" s="9">
        <v>982.08</v>
      </c>
      <c r="AK227" s="9">
        <v>982.08</v>
      </c>
      <c r="AL227" s="9">
        <v>982.08</v>
      </c>
      <c r="AM227" s="9">
        <v>982.08</v>
      </c>
      <c r="AN227" s="23">
        <v>982.08</v>
      </c>
      <c r="AO227" s="55">
        <v>958.33</v>
      </c>
      <c r="AP227" s="10">
        <f>SUM(AD227:AO227)</f>
        <v>11761.210000000001</v>
      </c>
    </row>
    <row r="228" spans="1:44" x14ac:dyDescent="0.3">
      <c r="C228" s="6" t="s">
        <v>8</v>
      </c>
      <c r="D228" s="9">
        <v>250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10">
        <f>SUM(D228:O228)</f>
        <v>250</v>
      </c>
      <c r="Q228" s="9">
        <v>250</v>
      </c>
      <c r="AC228" s="10">
        <f>SUM(Q228:AB228)</f>
        <v>250</v>
      </c>
      <c r="AD228" s="9">
        <v>250</v>
      </c>
      <c r="AE228" s="9"/>
      <c r="AF228" s="9"/>
      <c r="AG228" s="9"/>
      <c r="AH228" s="9"/>
      <c r="AI228" s="9"/>
      <c r="AJ228" s="9"/>
      <c r="AK228" s="9"/>
      <c r="AL228" s="9"/>
      <c r="AM228" s="9"/>
      <c r="AN228" s="23"/>
      <c r="AO228" s="56"/>
      <c r="AP228" s="10">
        <f>SUM(AD228:AO228)</f>
        <v>250</v>
      </c>
    </row>
    <row r="229" spans="1:44" ht="13.5" thickBot="1" x14ac:dyDescent="0.35">
      <c r="C229" s="6" t="s">
        <v>9</v>
      </c>
      <c r="D229" s="9">
        <f>22083.37+42573.95</f>
        <v>64657.319999999992</v>
      </c>
      <c r="E229" s="9">
        <f>22916.67+41690.63</f>
        <v>64607.299999999996</v>
      </c>
      <c r="F229" s="9">
        <f t="shared" ref="F229:O229" si="167">22916.67+41690.63</f>
        <v>64607.299999999996</v>
      </c>
      <c r="G229" s="9">
        <f t="shared" si="167"/>
        <v>64607.299999999996</v>
      </c>
      <c r="H229" s="9">
        <f t="shared" si="167"/>
        <v>64607.299999999996</v>
      </c>
      <c r="I229" s="9">
        <f t="shared" si="167"/>
        <v>64607.299999999996</v>
      </c>
      <c r="J229" s="9">
        <f>22916.67+41690.6</f>
        <v>64607.27</v>
      </c>
      <c r="K229" s="9">
        <f t="shared" si="167"/>
        <v>64607.299999999996</v>
      </c>
      <c r="L229" s="9">
        <f t="shared" si="167"/>
        <v>64607.299999999996</v>
      </c>
      <c r="M229" s="9">
        <f t="shared" si="167"/>
        <v>64607.299999999996</v>
      </c>
      <c r="N229" s="9">
        <f t="shared" si="167"/>
        <v>64607.299999999996</v>
      </c>
      <c r="O229" s="9">
        <f t="shared" si="167"/>
        <v>64607.299999999996</v>
      </c>
      <c r="P229" s="10">
        <f>SUM(D229:O229)</f>
        <v>775337.59000000008</v>
      </c>
      <c r="Q229" s="9">
        <f>22916.63+41690.6</f>
        <v>64607.229999999996</v>
      </c>
      <c r="R229" s="9">
        <f>23750+40773.96</f>
        <v>64523.96</v>
      </c>
      <c r="S229" s="9">
        <f t="shared" ref="S229:AB229" si="168">23750+40773.96</f>
        <v>64523.96</v>
      </c>
      <c r="T229" s="9">
        <f t="shared" si="168"/>
        <v>64523.96</v>
      </c>
      <c r="U229" s="9">
        <f t="shared" si="168"/>
        <v>64523.96</v>
      </c>
      <c r="V229" s="9">
        <f t="shared" si="168"/>
        <v>64523.96</v>
      </c>
      <c r="W229" s="9">
        <f>23750+40773.95</f>
        <v>64523.95</v>
      </c>
      <c r="X229" s="9">
        <f t="shared" si="168"/>
        <v>64523.96</v>
      </c>
      <c r="Y229" s="9">
        <f t="shared" si="168"/>
        <v>64523.96</v>
      </c>
      <c r="Z229" s="9">
        <f t="shared" si="168"/>
        <v>64523.96</v>
      </c>
      <c r="AA229" s="9">
        <f t="shared" si="168"/>
        <v>64523.96</v>
      </c>
      <c r="AB229" s="9">
        <f t="shared" si="168"/>
        <v>64523.96</v>
      </c>
      <c r="AC229" s="10">
        <f>SUM(Q229:AB229)</f>
        <v>774370.77999999991</v>
      </c>
      <c r="AD229" s="9">
        <f>23750+40773.95</f>
        <v>64523.95</v>
      </c>
      <c r="AE229" s="10">
        <f>24583.33+39823.96</f>
        <v>64407.29</v>
      </c>
      <c r="AF229" s="10">
        <f t="shared" ref="AF229:AO229" si="169">24583.33+39823.96</f>
        <v>64407.29</v>
      </c>
      <c r="AG229" s="10">
        <f t="shared" si="169"/>
        <v>64407.29</v>
      </c>
      <c r="AH229" s="10">
        <f t="shared" si="169"/>
        <v>64407.29</v>
      </c>
      <c r="AI229" s="10">
        <f t="shared" si="169"/>
        <v>64407.29</v>
      </c>
      <c r="AJ229" s="10">
        <f>24583.33+39823.95</f>
        <v>64407.28</v>
      </c>
      <c r="AK229" s="10">
        <f t="shared" si="169"/>
        <v>64407.29</v>
      </c>
      <c r="AL229" s="10">
        <f t="shared" si="169"/>
        <v>64407.29</v>
      </c>
      <c r="AM229" s="10">
        <f t="shared" si="169"/>
        <v>64407.29</v>
      </c>
      <c r="AN229" s="10">
        <f t="shared" si="169"/>
        <v>64407.29</v>
      </c>
      <c r="AO229" s="55">
        <f t="shared" si="169"/>
        <v>64407.29</v>
      </c>
      <c r="AP229" s="10">
        <f>SUM(AD229:AO229)</f>
        <v>773004.13</v>
      </c>
      <c r="AR229" s="33"/>
    </row>
    <row r="230" spans="1:44" ht="13.5" thickBot="1" x14ac:dyDescent="0.35">
      <c r="C230" s="11" t="s">
        <v>78</v>
      </c>
      <c r="D230" s="12">
        <f t="shared" ref="D230:O230" si="170">SUM(D227:D229)</f>
        <v>65934.399999999994</v>
      </c>
      <c r="E230" s="12">
        <f t="shared" si="170"/>
        <v>65634.37999999999</v>
      </c>
      <c r="F230" s="12">
        <f t="shared" si="170"/>
        <v>65634.37999999999</v>
      </c>
      <c r="G230" s="12">
        <f t="shared" si="170"/>
        <v>65634.37999999999</v>
      </c>
      <c r="H230" s="12">
        <f t="shared" si="170"/>
        <v>65634.37999999999</v>
      </c>
      <c r="I230" s="12">
        <f t="shared" si="170"/>
        <v>65634.37999999999</v>
      </c>
      <c r="J230" s="12">
        <f t="shared" si="170"/>
        <v>65634.349999999991</v>
      </c>
      <c r="K230" s="12">
        <f t="shared" si="170"/>
        <v>65634.37999999999</v>
      </c>
      <c r="L230" s="12">
        <f t="shared" si="170"/>
        <v>65634.37999999999</v>
      </c>
      <c r="M230" s="12">
        <f t="shared" si="170"/>
        <v>65634.37999999999</v>
      </c>
      <c r="N230" s="12">
        <f t="shared" si="170"/>
        <v>65634.37999999999</v>
      </c>
      <c r="O230" s="12">
        <f t="shared" si="170"/>
        <v>65612.299999999988</v>
      </c>
      <c r="P230" s="12">
        <f>SUM(P227:P229)</f>
        <v>787890.47000000009</v>
      </c>
      <c r="Q230" s="12">
        <f t="shared" ref="Q230:AB230" si="171">SUM(Q227:Q229)</f>
        <v>65862.23</v>
      </c>
      <c r="R230" s="12">
        <f t="shared" si="171"/>
        <v>65528.959999999999</v>
      </c>
      <c r="S230" s="12">
        <f t="shared" si="171"/>
        <v>65528.959999999999</v>
      </c>
      <c r="T230" s="12">
        <f t="shared" si="171"/>
        <v>65528.959999999999</v>
      </c>
      <c r="U230" s="12">
        <f t="shared" si="171"/>
        <v>65528.959999999999</v>
      </c>
      <c r="V230" s="12">
        <f t="shared" si="171"/>
        <v>65528.959999999999</v>
      </c>
      <c r="W230" s="12">
        <f t="shared" si="171"/>
        <v>65528.95</v>
      </c>
      <c r="X230" s="12">
        <f t="shared" si="171"/>
        <v>65528.959999999999</v>
      </c>
      <c r="Y230" s="12">
        <f t="shared" si="171"/>
        <v>65528.959999999999</v>
      </c>
      <c r="Z230" s="12">
        <f t="shared" si="171"/>
        <v>65528.959999999999</v>
      </c>
      <c r="AA230" s="12">
        <f t="shared" si="171"/>
        <v>65528.959999999999</v>
      </c>
      <c r="AB230" s="12">
        <f t="shared" si="171"/>
        <v>65506.04</v>
      </c>
      <c r="AC230" s="12">
        <f>SUM(AC227:AC229)</f>
        <v>786657.85999999987</v>
      </c>
      <c r="AD230" s="12">
        <f>SUM(AD227:AD229)</f>
        <v>65756.03</v>
      </c>
      <c r="AE230" s="12">
        <f>SUM(AE227:AE229)</f>
        <v>65389.37</v>
      </c>
      <c r="AF230" s="12">
        <f t="shared" ref="AF230:AO230" si="172">SUM(AF227:AF229)</f>
        <v>65389.37</v>
      </c>
      <c r="AG230" s="12">
        <f t="shared" si="172"/>
        <v>65389.37</v>
      </c>
      <c r="AH230" s="12">
        <f t="shared" si="172"/>
        <v>65389.37</v>
      </c>
      <c r="AI230" s="12">
        <f t="shared" si="172"/>
        <v>65389.37</v>
      </c>
      <c r="AJ230" s="12">
        <f t="shared" si="172"/>
        <v>65389.36</v>
      </c>
      <c r="AK230" s="12">
        <f t="shared" si="172"/>
        <v>65389.37</v>
      </c>
      <c r="AL230" s="12">
        <f t="shared" si="172"/>
        <v>65389.37</v>
      </c>
      <c r="AM230" s="12">
        <f t="shared" si="172"/>
        <v>65389.37</v>
      </c>
      <c r="AN230" s="12">
        <f t="shared" si="172"/>
        <v>65389.37</v>
      </c>
      <c r="AO230" s="57">
        <f t="shared" si="172"/>
        <v>65365.62</v>
      </c>
      <c r="AP230" s="12">
        <f>SUM(AP227:AP229)</f>
        <v>785015.34</v>
      </c>
    </row>
    <row r="231" spans="1:44" x14ac:dyDescent="0.3">
      <c r="C231" s="13"/>
    </row>
    <row r="232" spans="1:44" ht="15.5" x14ac:dyDescent="0.35">
      <c r="A232" s="1">
        <f>A226+1</f>
        <v>32</v>
      </c>
      <c r="B232" s="21"/>
      <c r="C232" s="22" t="s">
        <v>79</v>
      </c>
    </row>
    <row r="233" spans="1:44" x14ac:dyDescent="0.3">
      <c r="C233" s="6" t="s">
        <v>7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f>SUM(D233:O233)</f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f>SUM(Q233:AB233)</f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55">
        <v>0</v>
      </c>
      <c r="AP233" s="10">
        <f>SUM(AD233:AO233)</f>
        <v>0</v>
      </c>
    </row>
    <row r="234" spans="1:44" x14ac:dyDescent="0.3">
      <c r="C234" s="6" t="s">
        <v>8</v>
      </c>
      <c r="D234" s="9">
        <v>250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10">
        <f>SUM(D234:O234)</f>
        <v>250</v>
      </c>
      <c r="Q234" s="9">
        <v>250</v>
      </c>
      <c r="AC234" s="10">
        <f>SUM(Q234:AB234)</f>
        <v>250</v>
      </c>
      <c r="AD234" s="9">
        <v>250</v>
      </c>
      <c r="AE234" s="9"/>
      <c r="AF234" s="9"/>
      <c r="AG234" s="9"/>
      <c r="AH234" s="9"/>
      <c r="AI234" s="9"/>
      <c r="AJ234" s="9"/>
      <c r="AK234" s="9"/>
      <c r="AL234" s="9"/>
      <c r="AM234" s="9"/>
      <c r="AN234" s="23"/>
      <c r="AO234" s="56"/>
      <c r="AP234" s="10">
        <f>SUM(AD234:AO234)</f>
        <v>250</v>
      </c>
    </row>
    <row r="235" spans="1:44" ht="13.5" thickBot="1" x14ac:dyDescent="0.35">
      <c r="C235" s="6" t="s">
        <v>9</v>
      </c>
      <c r="D235" s="9">
        <v>43479.99</v>
      </c>
      <c r="E235" s="9">
        <v>43479.99</v>
      </c>
      <c r="F235" s="9">
        <v>43479.99</v>
      </c>
      <c r="G235" s="9">
        <v>43479.99</v>
      </c>
      <c r="H235" s="9">
        <v>43479.99</v>
      </c>
      <c r="I235" s="9">
        <v>43479.99</v>
      </c>
      <c r="J235" s="9">
        <v>43479.99</v>
      </c>
      <c r="K235" s="9">
        <v>43479.99</v>
      </c>
      <c r="L235" s="9">
        <v>43479.99</v>
      </c>
      <c r="M235" s="9">
        <v>43479.99</v>
      </c>
      <c r="N235" s="9">
        <v>43479.99</v>
      </c>
      <c r="O235" s="9">
        <v>43479.99</v>
      </c>
      <c r="P235" s="10">
        <f>SUM(D235:O235)</f>
        <v>521759.87999999995</v>
      </c>
      <c r="Q235" s="9">
        <v>43479.99</v>
      </c>
      <c r="R235" s="9">
        <v>43479.99</v>
      </c>
      <c r="S235" s="9">
        <v>43479.99</v>
      </c>
      <c r="T235" s="9">
        <v>43479.99</v>
      </c>
      <c r="U235" s="9">
        <v>43479.99</v>
      </c>
      <c r="V235" s="9">
        <v>43479.99</v>
      </c>
      <c r="W235" s="9">
        <v>43479.99</v>
      </c>
      <c r="X235" s="9">
        <v>43479.99</v>
      </c>
      <c r="Y235" s="9">
        <v>43479.99</v>
      </c>
      <c r="Z235" s="9">
        <v>43479.99</v>
      </c>
      <c r="AA235" s="9">
        <v>43479.99</v>
      </c>
      <c r="AB235" s="9">
        <v>43479.99</v>
      </c>
      <c r="AC235" s="10">
        <f>SUM(Q235:AB235)</f>
        <v>521759.87999999995</v>
      </c>
      <c r="AD235" s="9">
        <v>43479.99</v>
      </c>
      <c r="AE235" s="9">
        <v>43479.99</v>
      </c>
      <c r="AF235" s="9">
        <v>43479.99</v>
      </c>
      <c r="AG235" s="9">
        <v>43479.99</v>
      </c>
      <c r="AH235" s="9">
        <v>43479.99</v>
      </c>
      <c r="AI235" s="9">
        <v>43479.99</v>
      </c>
      <c r="AJ235" s="9">
        <v>43479.99</v>
      </c>
      <c r="AK235" s="9">
        <v>43479.99</v>
      </c>
      <c r="AL235" s="9">
        <v>43479.99</v>
      </c>
      <c r="AM235" s="9">
        <v>43479.99</v>
      </c>
      <c r="AN235" s="23">
        <v>43479.99</v>
      </c>
      <c r="AO235" s="56">
        <v>43479.99</v>
      </c>
      <c r="AP235" s="10">
        <f>SUM(AD235:AO235)</f>
        <v>521759.87999999995</v>
      </c>
      <c r="AR235" s="33"/>
    </row>
    <row r="236" spans="1:44" ht="13.5" thickBot="1" x14ac:dyDescent="0.35">
      <c r="C236" s="11" t="s">
        <v>80</v>
      </c>
      <c r="D236" s="12">
        <f t="shared" ref="D236:O236" si="173">SUM(D233:D235)</f>
        <v>43729.99</v>
      </c>
      <c r="E236" s="12">
        <f t="shared" si="173"/>
        <v>43479.99</v>
      </c>
      <c r="F236" s="12">
        <f t="shared" si="173"/>
        <v>43479.99</v>
      </c>
      <c r="G236" s="12">
        <f t="shared" si="173"/>
        <v>43479.99</v>
      </c>
      <c r="H236" s="12">
        <f t="shared" si="173"/>
        <v>43479.99</v>
      </c>
      <c r="I236" s="12">
        <f t="shared" si="173"/>
        <v>43479.99</v>
      </c>
      <c r="J236" s="12">
        <f t="shared" si="173"/>
        <v>43479.99</v>
      </c>
      <c r="K236" s="12">
        <f t="shared" si="173"/>
        <v>43479.99</v>
      </c>
      <c r="L236" s="12">
        <f t="shared" si="173"/>
        <v>43479.99</v>
      </c>
      <c r="M236" s="12">
        <f t="shared" si="173"/>
        <v>43479.99</v>
      </c>
      <c r="N236" s="12">
        <f t="shared" si="173"/>
        <v>43479.99</v>
      </c>
      <c r="O236" s="12">
        <f t="shared" si="173"/>
        <v>43479.99</v>
      </c>
      <c r="P236" s="12">
        <f>SUM(P233:P235)</f>
        <v>522009.87999999995</v>
      </c>
      <c r="Q236" s="12">
        <f t="shared" ref="Q236:AB236" si="174">SUM(Q233:Q235)</f>
        <v>43729.99</v>
      </c>
      <c r="R236" s="12">
        <f t="shared" si="174"/>
        <v>43479.99</v>
      </c>
      <c r="S236" s="12">
        <f t="shared" si="174"/>
        <v>43479.99</v>
      </c>
      <c r="T236" s="12">
        <f t="shared" si="174"/>
        <v>43479.99</v>
      </c>
      <c r="U236" s="12">
        <f t="shared" si="174"/>
        <v>43479.99</v>
      </c>
      <c r="V236" s="12">
        <f t="shared" si="174"/>
        <v>43479.99</v>
      </c>
      <c r="W236" s="12">
        <f t="shared" si="174"/>
        <v>43479.99</v>
      </c>
      <c r="X236" s="12">
        <f t="shared" si="174"/>
        <v>43479.99</v>
      </c>
      <c r="Y236" s="12">
        <f t="shared" si="174"/>
        <v>43479.99</v>
      </c>
      <c r="Z236" s="12">
        <f t="shared" si="174"/>
        <v>43479.99</v>
      </c>
      <c r="AA236" s="12">
        <f t="shared" si="174"/>
        <v>43479.99</v>
      </c>
      <c r="AB236" s="12">
        <f t="shared" si="174"/>
        <v>43479.99</v>
      </c>
      <c r="AC236" s="12">
        <f>SUM(AC233:AC235)</f>
        <v>522009.87999999995</v>
      </c>
      <c r="AD236" s="12">
        <f>SUM(AD233:AD235)</f>
        <v>43729.99</v>
      </c>
      <c r="AE236" s="12">
        <f>SUM(AE233:AE235)</f>
        <v>43479.99</v>
      </c>
      <c r="AF236" s="12">
        <f t="shared" ref="AF236:AO236" si="175">SUM(AF233:AF235)</f>
        <v>43479.99</v>
      </c>
      <c r="AG236" s="12">
        <f t="shared" si="175"/>
        <v>43479.99</v>
      </c>
      <c r="AH236" s="12">
        <f t="shared" si="175"/>
        <v>43479.99</v>
      </c>
      <c r="AI236" s="12">
        <f t="shared" si="175"/>
        <v>43479.99</v>
      </c>
      <c r="AJ236" s="12">
        <f t="shared" si="175"/>
        <v>43479.99</v>
      </c>
      <c r="AK236" s="12">
        <f t="shared" si="175"/>
        <v>43479.99</v>
      </c>
      <c r="AL236" s="12">
        <f t="shared" si="175"/>
        <v>43479.99</v>
      </c>
      <c r="AM236" s="12">
        <f t="shared" si="175"/>
        <v>43479.99</v>
      </c>
      <c r="AN236" s="12">
        <f t="shared" si="175"/>
        <v>43479.99</v>
      </c>
      <c r="AO236" s="57">
        <f t="shared" si="175"/>
        <v>43479.99</v>
      </c>
      <c r="AP236" s="12">
        <f>SUM(AP233:AP235)</f>
        <v>522009.87999999995</v>
      </c>
    </row>
    <row r="237" spans="1:44" x14ac:dyDescent="0.3">
      <c r="C237" s="13"/>
    </row>
    <row r="238" spans="1:44" ht="15.5" x14ac:dyDescent="0.35">
      <c r="B238" s="24" t="s">
        <v>5</v>
      </c>
      <c r="C238" s="8" t="s">
        <v>81</v>
      </c>
    </row>
    <row r="239" spans="1:44" x14ac:dyDescent="0.3">
      <c r="C239" s="6" t="s">
        <v>7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/>
      <c r="K239" s="10"/>
      <c r="L239" s="10"/>
      <c r="M239" s="10"/>
      <c r="N239" s="10"/>
      <c r="O239" s="10"/>
      <c r="P239" s="10">
        <f>SUM(D239:O239)</f>
        <v>0</v>
      </c>
    </row>
    <row r="240" spans="1:44" x14ac:dyDescent="0.3">
      <c r="C240" s="6" t="s">
        <v>8</v>
      </c>
      <c r="D240" s="9">
        <v>250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10">
        <f>SUM(D240:O240)</f>
        <v>250</v>
      </c>
    </row>
    <row r="241" spans="1:44" ht="13.5" thickBot="1" x14ac:dyDescent="0.35">
      <c r="C241" s="6" t="s">
        <v>9</v>
      </c>
      <c r="D241" s="9">
        <v>39589.17</v>
      </c>
      <c r="E241" s="9">
        <v>39589.17</v>
      </c>
      <c r="F241" s="9">
        <v>39589.17</v>
      </c>
      <c r="G241" s="9">
        <v>39589.17</v>
      </c>
      <c r="H241" s="9">
        <v>39589.15</v>
      </c>
      <c r="I241" s="9">
        <v>39455.71</v>
      </c>
      <c r="J241" s="9"/>
      <c r="K241" s="9"/>
      <c r="L241" s="9"/>
      <c r="M241" s="9"/>
      <c r="N241" s="9"/>
      <c r="O241" s="9"/>
      <c r="P241" s="10">
        <f>SUM(D241:O241)</f>
        <v>237401.53999999998</v>
      </c>
    </row>
    <row r="242" spans="1:44" ht="13.5" thickBot="1" x14ac:dyDescent="0.35">
      <c r="C242" s="11" t="s">
        <v>20</v>
      </c>
      <c r="D242" s="12">
        <f t="shared" ref="D242:O242" si="176">SUM(D239:D241)</f>
        <v>39839.17</v>
      </c>
      <c r="E242" s="12">
        <f t="shared" si="176"/>
        <v>39589.17</v>
      </c>
      <c r="F242" s="12">
        <f t="shared" si="176"/>
        <v>39589.17</v>
      </c>
      <c r="G242" s="12">
        <f t="shared" si="176"/>
        <v>39589.17</v>
      </c>
      <c r="H242" s="12">
        <f t="shared" si="176"/>
        <v>39589.15</v>
      </c>
      <c r="I242" s="12">
        <f t="shared" si="176"/>
        <v>39455.71</v>
      </c>
      <c r="J242" s="12">
        <f t="shared" si="176"/>
        <v>0</v>
      </c>
      <c r="K242" s="12">
        <f t="shared" si="176"/>
        <v>0</v>
      </c>
      <c r="L242" s="12">
        <f t="shared" si="176"/>
        <v>0</v>
      </c>
      <c r="M242" s="12">
        <f t="shared" si="176"/>
        <v>0</v>
      </c>
      <c r="N242" s="12">
        <f t="shared" si="176"/>
        <v>0</v>
      </c>
      <c r="O242" s="12">
        <f t="shared" si="176"/>
        <v>0</v>
      </c>
      <c r="P242" s="12">
        <f>SUM(P239:P241)</f>
        <v>237651.53999999998</v>
      </c>
    </row>
    <row r="243" spans="1:44" x14ac:dyDescent="0.3">
      <c r="C243" s="13"/>
    </row>
    <row r="244" spans="1:44" ht="15.5" x14ac:dyDescent="0.35">
      <c r="A244" s="1">
        <f>A232+1</f>
        <v>33</v>
      </c>
      <c r="B244" s="21"/>
      <c r="C244" s="22" t="s">
        <v>82</v>
      </c>
    </row>
    <row r="245" spans="1:44" x14ac:dyDescent="0.3">
      <c r="C245" s="6" t="s">
        <v>7</v>
      </c>
      <c r="D245" s="9">
        <v>1657.92</v>
      </c>
      <c r="E245" s="9">
        <v>1657.92</v>
      </c>
      <c r="F245" s="9">
        <v>1657.92</v>
      </c>
      <c r="G245" s="9">
        <v>1657.92</v>
      </c>
      <c r="H245" s="9">
        <v>1657.92</v>
      </c>
      <c r="I245" s="9">
        <v>1657.92</v>
      </c>
      <c r="J245" s="9">
        <v>1657.92</v>
      </c>
      <c r="K245" s="9">
        <v>1657.92</v>
      </c>
      <c r="L245" s="9">
        <v>1657.92</v>
      </c>
      <c r="M245" s="9">
        <v>1657.92</v>
      </c>
      <c r="N245" s="9">
        <v>1657.92</v>
      </c>
      <c r="O245" s="9">
        <v>1657.92</v>
      </c>
      <c r="P245" s="10">
        <f>SUM(D245:O245)</f>
        <v>19895.04</v>
      </c>
      <c r="Q245" s="9">
        <v>1620.42</v>
      </c>
      <c r="R245" s="9">
        <v>1620.42</v>
      </c>
      <c r="S245" s="9">
        <v>1620.42</v>
      </c>
      <c r="T245" s="9">
        <v>1620.42</v>
      </c>
      <c r="U245" s="9">
        <v>1620.42</v>
      </c>
      <c r="V245" s="9">
        <v>1620.42</v>
      </c>
      <c r="W245" s="9">
        <v>1620.42</v>
      </c>
      <c r="X245" s="9">
        <v>1620.42</v>
      </c>
      <c r="Y245" s="9">
        <v>1620.42</v>
      </c>
      <c r="Z245" s="9">
        <v>1620.42</v>
      </c>
      <c r="AA245" s="9">
        <v>1620.42</v>
      </c>
      <c r="AB245" s="9">
        <v>1620.42</v>
      </c>
      <c r="AC245" s="10">
        <f>SUM(Q245:AB245)</f>
        <v>19445.04</v>
      </c>
      <c r="AD245" s="10">
        <v>1581.25</v>
      </c>
      <c r="AE245" s="10">
        <v>1581.25</v>
      </c>
      <c r="AF245" s="10">
        <v>1581.25</v>
      </c>
      <c r="AG245" s="10">
        <v>1581.25</v>
      </c>
      <c r="AH245" s="10">
        <v>1581.25</v>
      </c>
      <c r="AI245" s="10">
        <v>1581.25</v>
      </c>
      <c r="AJ245" s="10">
        <v>1581.25</v>
      </c>
      <c r="AK245" s="10">
        <v>1581.25</v>
      </c>
      <c r="AL245" s="10">
        <v>1581.25</v>
      </c>
      <c r="AM245" s="10">
        <v>1581.25</v>
      </c>
      <c r="AN245" s="10">
        <v>1581.25</v>
      </c>
      <c r="AO245" s="55">
        <v>1581.25</v>
      </c>
      <c r="AP245" s="10">
        <f>SUM(AD245:AO245)</f>
        <v>18975</v>
      </c>
    </row>
    <row r="246" spans="1:44" x14ac:dyDescent="0.3">
      <c r="C246" s="6" t="s">
        <v>8</v>
      </c>
      <c r="D246" s="9">
        <v>250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10">
        <f>SUM(D246:O246)</f>
        <v>250</v>
      </c>
      <c r="Q246" s="9">
        <v>250</v>
      </c>
      <c r="AC246" s="10">
        <f>SUM(Q246:AB246)</f>
        <v>250</v>
      </c>
      <c r="AD246" s="9">
        <v>250</v>
      </c>
      <c r="AE246" s="9"/>
      <c r="AF246" s="9"/>
      <c r="AG246" s="9"/>
      <c r="AH246" s="9"/>
      <c r="AI246" s="9"/>
      <c r="AJ246" s="9"/>
      <c r="AK246" s="9"/>
      <c r="AL246" s="9"/>
      <c r="AM246" s="9"/>
      <c r="AN246" s="23"/>
      <c r="AO246" s="56"/>
      <c r="AP246" s="10">
        <f>SUM(AD246:AO246)</f>
        <v>250</v>
      </c>
    </row>
    <row r="247" spans="1:44" ht="13.5" thickBot="1" x14ac:dyDescent="0.35">
      <c r="C247" s="6" t="s">
        <v>9</v>
      </c>
      <c r="D247" s="9">
        <f t="shared" ref="D247:M247" si="177">37500+65532.29</f>
        <v>103032.29000000001</v>
      </c>
      <c r="E247" s="9">
        <f t="shared" si="177"/>
        <v>103032.29000000001</v>
      </c>
      <c r="F247" s="9">
        <f t="shared" si="177"/>
        <v>103032.29000000001</v>
      </c>
      <c r="G247" s="9">
        <f t="shared" si="177"/>
        <v>103032.29000000001</v>
      </c>
      <c r="H247" s="9">
        <f>37500+65532.3</f>
        <v>103032.3</v>
      </c>
      <c r="I247" s="9">
        <f t="shared" si="177"/>
        <v>103032.29000000001</v>
      </c>
      <c r="J247" s="9">
        <f t="shared" si="177"/>
        <v>103032.29000000001</v>
      </c>
      <c r="K247" s="9">
        <f t="shared" si="177"/>
        <v>103032.29000000001</v>
      </c>
      <c r="L247" s="9">
        <f t="shared" si="177"/>
        <v>103032.29000000001</v>
      </c>
      <c r="M247" s="9">
        <f t="shared" si="177"/>
        <v>103032.29000000001</v>
      </c>
      <c r="N247" s="9">
        <f>37500+65532.3</f>
        <v>103032.3</v>
      </c>
      <c r="O247" s="9">
        <f>39166.67+64032.29</f>
        <v>103198.95999999999</v>
      </c>
      <c r="P247" s="10">
        <f>SUM(D247:O247)</f>
        <v>1236554.1700000002</v>
      </c>
      <c r="Q247" s="9">
        <f t="shared" ref="Q247:Z247" si="178">39166.67+64032.29</f>
        <v>103198.95999999999</v>
      </c>
      <c r="R247" s="9">
        <f t="shared" si="178"/>
        <v>103198.95999999999</v>
      </c>
      <c r="S247" s="9">
        <f t="shared" si="178"/>
        <v>103198.95999999999</v>
      </c>
      <c r="T247" s="9">
        <f t="shared" si="178"/>
        <v>103198.95999999999</v>
      </c>
      <c r="U247" s="9">
        <f>39166.67+64032.3</f>
        <v>103198.97</v>
      </c>
      <c r="V247" s="9">
        <f t="shared" si="178"/>
        <v>103198.95999999999</v>
      </c>
      <c r="W247" s="9">
        <f t="shared" si="178"/>
        <v>103198.95999999999</v>
      </c>
      <c r="X247" s="9">
        <f t="shared" si="178"/>
        <v>103198.95999999999</v>
      </c>
      <c r="Y247" s="9">
        <f t="shared" si="178"/>
        <v>103198.95999999999</v>
      </c>
      <c r="Z247" s="9">
        <f t="shared" si="178"/>
        <v>103198.95999999999</v>
      </c>
      <c r="AA247" s="9">
        <f>39166.63+64032.3</f>
        <v>103198.93</v>
      </c>
      <c r="AB247" s="9">
        <f>40416.67+62465.63</f>
        <v>102882.29999999999</v>
      </c>
      <c r="AC247" s="10">
        <f>SUM(Q247:AB247)</f>
        <v>1238070.8399999999</v>
      </c>
      <c r="AD247" s="9">
        <f t="shared" ref="AD247:AM247" si="179">40416.67+62465.63</f>
        <v>102882.29999999999</v>
      </c>
      <c r="AE247" s="9">
        <f t="shared" si="179"/>
        <v>102882.29999999999</v>
      </c>
      <c r="AF247" s="9">
        <f t="shared" si="179"/>
        <v>102882.29999999999</v>
      </c>
      <c r="AG247" s="9">
        <f t="shared" si="179"/>
        <v>102882.29999999999</v>
      </c>
      <c r="AH247" s="9">
        <f>40416.67+62465.6</f>
        <v>102882.26999999999</v>
      </c>
      <c r="AI247" s="9">
        <f t="shared" si="179"/>
        <v>102882.29999999999</v>
      </c>
      <c r="AJ247" s="9">
        <f t="shared" si="179"/>
        <v>102882.29999999999</v>
      </c>
      <c r="AK247" s="9">
        <f t="shared" si="179"/>
        <v>102882.29999999999</v>
      </c>
      <c r="AL247" s="9">
        <f t="shared" si="179"/>
        <v>102882.29999999999</v>
      </c>
      <c r="AM247" s="9">
        <f t="shared" si="179"/>
        <v>102882.29999999999</v>
      </c>
      <c r="AN247" s="23">
        <f>40416.63+62465.6</f>
        <v>102882.23</v>
      </c>
      <c r="AO247" s="55">
        <f>42083.33+60848.96</f>
        <v>102932.29000000001</v>
      </c>
      <c r="AP247" s="10">
        <f>SUM(AD247:AO247)</f>
        <v>1234637.4900000002</v>
      </c>
      <c r="AR247" s="33"/>
    </row>
    <row r="248" spans="1:44" ht="13.5" thickBot="1" x14ac:dyDescent="0.35">
      <c r="C248" s="11" t="s">
        <v>83</v>
      </c>
      <c r="D248" s="12">
        <f t="shared" ref="D248:O248" si="180">SUM(D245:D247)</f>
        <v>104940.21</v>
      </c>
      <c r="E248" s="12">
        <f t="shared" si="180"/>
        <v>104690.21</v>
      </c>
      <c r="F248" s="12">
        <f t="shared" si="180"/>
        <v>104690.21</v>
      </c>
      <c r="G248" s="12">
        <f t="shared" si="180"/>
        <v>104690.21</v>
      </c>
      <c r="H248" s="12">
        <f t="shared" si="180"/>
        <v>104690.22</v>
      </c>
      <c r="I248" s="12">
        <f t="shared" si="180"/>
        <v>104690.21</v>
      </c>
      <c r="J248" s="12">
        <f t="shared" si="180"/>
        <v>104690.21</v>
      </c>
      <c r="K248" s="12">
        <f t="shared" si="180"/>
        <v>104690.21</v>
      </c>
      <c r="L248" s="12">
        <f t="shared" si="180"/>
        <v>104690.21</v>
      </c>
      <c r="M248" s="12">
        <f t="shared" si="180"/>
        <v>104690.21</v>
      </c>
      <c r="N248" s="12">
        <f t="shared" si="180"/>
        <v>104690.22</v>
      </c>
      <c r="O248" s="12">
        <f t="shared" si="180"/>
        <v>104856.87999999999</v>
      </c>
      <c r="P248" s="12">
        <f>SUM(P245:P247)</f>
        <v>1256699.2100000002</v>
      </c>
      <c r="Q248" s="12">
        <f t="shared" ref="Q248:AB248" si="181">SUM(Q245:Q247)</f>
        <v>105069.37999999999</v>
      </c>
      <c r="R248" s="12">
        <f t="shared" si="181"/>
        <v>104819.37999999999</v>
      </c>
      <c r="S248" s="12">
        <f t="shared" si="181"/>
        <v>104819.37999999999</v>
      </c>
      <c r="T248" s="12">
        <f t="shared" si="181"/>
        <v>104819.37999999999</v>
      </c>
      <c r="U248" s="12">
        <f t="shared" si="181"/>
        <v>104819.39</v>
      </c>
      <c r="V248" s="12">
        <f t="shared" si="181"/>
        <v>104819.37999999999</v>
      </c>
      <c r="W248" s="12">
        <f t="shared" si="181"/>
        <v>104819.37999999999</v>
      </c>
      <c r="X248" s="12">
        <f t="shared" si="181"/>
        <v>104819.37999999999</v>
      </c>
      <c r="Y248" s="12">
        <f t="shared" si="181"/>
        <v>104819.37999999999</v>
      </c>
      <c r="Z248" s="12">
        <f t="shared" si="181"/>
        <v>104819.37999999999</v>
      </c>
      <c r="AA248" s="12">
        <f t="shared" si="181"/>
        <v>104819.34999999999</v>
      </c>
      <c r="AB248" s="12">
        <f t="shared" si="181"/>
        <v>104502.71999999999</v>
      </c>
      <c r="AC248" s="12">
        <f>SUM(AC245:AC247)</f>
        <v>1257765.8799999999</v>
      </c>
      <c r="AD248" s="12">
        <f>SUM(AD245:AD247)</f>
        <v>104713.54999999999</v>
      </c>
      <c r="AE248" s="12">
        <f>SUM(AE245:AE247)</f>
        <v>104463.54999999999</v>
      </c>
      <c r="AF248" s="12">
        <f t="shared" ref="AF248:AO248" si="182">SUM(AF245:AF247)</f>
        <v>104463.54999999999</v>
      </c>
      <c r="AG248" s="12">
        <f t="shared" si="182"/>
        <v>104463.54999999999</v>
      </c>
      <c r="AH248" s="12">
        <f t="shared" si="182"/>
        <v>104463.51999999999</v>
      </c>
      <c r="AI248" s="12">
        <f t="shared" si="182"/>
        <v>104463.54999999999</v>
      </c>
      <c r="AJ248" s="12">
        <f t="shared" si="182"/>
        <v>104463.54999999999</v>
      </c>
      <c r="AK248" s="12">
        <f t="shared" si="182"/>
        <v>104463.54999999999</v>
      </c>
      <c r="AL248" s="12">
        <f t="shared" si="182"/>
        <v>104463.54999999999</v>
      </c>
      <c r="AM248" s="12">
        <f t="shared" si="182"/>
        <v>104463.54999999999</v>
      </c>
      <c r="AN248" s="12">
        <f t="shared" si="182"/>
        <v>104463.48</v>
      </c>
      <c r="AO248" s="57">
        <f t="shared" si="182"/>
        <v>104513.54000000001</v>
      </c>
      <c r="AP248" s="12">
        <f>SUM(AP245:AP247)</f>
        <v>1253862.4900000002</v>
      </c>
    </row>
    <row r="249" spans="1:44" x14ac:dyDescent="0.3">
      <c r="C249" s="13"/>
    </row>
    <row r="250" spans="1:44" ht="15.5" x14ac:dyDescent="0.35">
      <c r="A250" s="1">
        <f>A244+1</f>
        <v>34</v>
      </c>
      <c r="B250" s="21"/>
      <c r="C250" s="22" t="s">
        <v>84</v>
      </c>
    </row>
    <row r="251" spans="1:44" x14ac:dyDescent="0.3">
      <c r="C251" s="6" t="s">
        <v>7</v>
      </c>
      <c r="D251" s="9">
        <v>397.5</v>
      </c>
      <c r="E251" s="9">
        <v>375.83</v>
      </c>
      <c r="F251" s="9">
        <v>375.83</v>
      </c>
      <c r="G251" s="9">
        <v>375.83</v>
      </c>
      <c r="H251" s="9">
        <v>375.83</v>
      </c>
      <c r="I251" s="9">
        <v>375.83</v>
      </c>
      <c r="J251" s="9">
        <v>375.83</v>
      </c>
      <c r="K251" s="9">
        <v>375.83</v>
      </c>
      <c r="L251" s="9">
        <v>375.83</v>
      </c>
      <c r="M251" s="9">
        <v>375.83</v>
      </c>
      <c r="N251" s="9">
        <v>375.83</v>
      </c>
      <c r="O251" s="9">
        <v>375.83</v>
      </c>
      <c r="P251" s="10">
        <f>SUM(D251:O251)</f>
        <v>4531.6299999999992</v>
      </c>
      <c r="Q251" s="9">
        <v>375.83</v>
      </c>
      <c r="R251" s="9">
        <v>353.33</v>
      </c>
      <c r="S251" s="9">
        <v>353.33</v>
      </c>
      <c r="T251" s="9">
        <v>353.33</v>
      </c>
      <c r="U251" s="9">
        <v>353.33</v>
      </c>
      <c r="V251" s="9">
        <v>353.33</v>
      </c>
      <c r="W251" s="9">
        <v>353.33</v>
      </c>
      <c r="X251" s="9">
        <v>353.33</v>
      </c>
      <c r="Y251" s="9">
        <v>353.33</v>
      </c>
      <c r="Z251" s="9">
        <v>353.33</v>
      </c>
      <c r="AA251" s="9">
        <v>353.33</v>
      </c>
      <c r="AB251" s="9">
        <v>353.33</v>
      </c>
      <c r="AC251" s="10">
        <f>SUM(Q251:AB251)</f>
        <v>4262.46</v>
      </c>
      <c r="AD251" s="9">
        <v>353.33</v>
      </c>
      <c r="AE251" s="10">
        <v>330</v>
      </c>
      <c r="AF251" s="10">
        <v>330</v>
      </c>
      <c r="AG251" s="10">
        <v>330</v>
      </c>
      <c r="AH251" s="10">
        <v>330</v>
      </c>
      <c r="AI251" s="10">
        <v>330</v>
      </c>
      <c r="AJ251" s="10">
        <v>330</v>
      </c>
      <c r="AK251" s="10">
        <v>330</v>
      </c>
      <c r="AL251" s="10">
        <v>330</v>
      </c>
      <c r="AM251" s="10">
        <v>330</v>
      </c>
      <c r="AN251" s="10">
        <v>330</v>
      </c>
      <c r="AO251" s="55">
        <v>330</v>
      </c>
      <c r="AP251" s="10">
        <f>SUM(AD251:AO251)</f>
        <v>3983.33</v>
      </c>
    </row>
    <row r="252" spans="1:44" x14ac:dyDescent="0.3">
      <c r="C252" s="6" t="s">
        <v>8</v>
      </c>
      <c r="D252" s="9">
        <v>250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10">
        <f>SUM(D252:O252)</f>
        <v>250</v>
      </c>
      <c r="Q252" s="9">
        <v>250</v>
      </c>
      <c r="AC252" s="10">
        <f>SUM(Q252:AB252)</f>
        <v>250</v>
      </c>
      <c r="AD252" s="9">
        <v>250</v>
      </c>
      <c r="AE252" s="9"/>
      <c r="AF252" s="9"/>
      <c r="AG252" s="9"/>
      <c r="AH252" s="9"/>
      <c r="AI252" s="9"/>
      <c r="AJ252" s="9"/>
      <c r="AK252" s="9"/>
      <c r="AL252" s="9"/>
      <c r="AM252" s="9"/>
      <c r="AN252" s="23"/>
      <c r="AO252" s="56"/>
      <c r="AP252" s="10">
        <f>SUM(AD252:AO252)</f>
        <v>250</v>
      </c>
    </row>
    <row r="253" spans="1:44" ht="13.5" thickBot="1" x14ac:dyDescent="0.35">
      <c r="C253" s="6" t="s">
        <v>9</v>
      </c>
      <c r="D253" s="9">
        <f>22500+13875</f>
        <v>36375</v>
      </c>
      <c r="E253" s="9">
        <f>22500+13875</f>
        <v>36375</v>
      </c>
      <c r="F253" s="9">
        <f>22500+13875</f>
        <v>36375</v>
      </c>
      <c r="G253" s="9">
        <f>22500+13875</f>
        <v>36375</v>
      </c>
      <c r="H253" s="9">
        <f>22500+13875</f>
        <v>36375</v>
      </c>
      <c r="I253" s="9">
        <f>23333.33+12975</f>
        <v>36308.33</v>
      </c>
      <c r="J253" s="9">
        <f t="shared" ref="J253:T253" si="183">23333.33+12975</f>
        <v>36308.33</v>
      </c>
      <c r="K253" s="9">
        <f t="shared" si="183"/>
        <v>36308.33</v>
      </c>
      <c r="L253" s="9">
        <f t="shared" si="183"/>
        <v>36308.33</v>
      </c>
      <c r="M253" s="9">
        <f t="shared" si="183"/>
        <v>36308.33</v>
      </c>
      <c r="N253" s="9">
        <f t="shared" si="183"/>
        <v>36308.33</v>
      </c>
      <c r="O253" s="9">
        <f t="shared" si="183"/>
        <v>36308.33</v>
      </c>
      <c r="P253" s="10">
        <f>SUM(D253:O253)</f>
        <v>436033.31000000011</v>
      </c>
      <c r="Q253" s="9">
        <f t="shared" si="183"/>
        <v>36308.33</v>
      </c>
      <c r="R253" s="9">
        <f t="shared" si="183"/>
        <v>36308.33</v>
      </c>
      <c r="S253" s="9">
        <f t="shared" si="183"/>
        <v>36308.33</v>
      </c>
      <c r="T253" s="9">
        <f t="shared" si="183"/>
        <v>36308.33</v>
      </c>
      <c r="U253" s="9">
        <f>23333.37+12975</f>
        <v>36308.369999999995</v>
      </c>
      <c r="V253" s="9">
        <f>24166.67+12041.67</f>
        <v>36208.339999999997</v>
      </c>
      <c r="W253" s="9">
        <f t="shared" ref="W253:AG253" si="184">24166.67+12041.67</f>
        <v>36208.339999999997</v>
      </c>
      <c r="X253" s="9">
        <f t="shared" si="184"/>
        <v>36208.339999999997</v>
      </c>
      <c r="Y253" s="9">
        <f t="shared" si="184"/>
        <v>36208.339999999997</v>
      </c>
      <c r="Z253" s="9">
        <f t="shared" si="184"/>
        <v>36208.339999999997</v>
      </c>
      <c r="AA253" s="9">
        <f>24166.67+12041.65</f>
        <v>36208.32</v>
      </c>
      <c r="AB253" s="9">
        <f t="shared" si="184"/>
        <v>36208.339999999997</v>
      </c>
      <c r="AC253" s="10">
        <f>SUM(Q253:AB253)</f>
        <v>435000.04999999993</v>
      </c>
      <c r="AD253" s="9">
        <f t="shared" si="184"/>
        <v>36208.339999999997</v>
      </c>
      <c r="AE253" s="9">
        <f t="shared" si="184"/>
        <v>36208.339999999997</v>
      </c>
      <c r="AF253" s="9">
        <f t="shared" si="184"/>
        <v>36208.339999999997</v>
      </c>
      <c r="AG253" s="9">
        <f t="shared" si="184"/>
        <v>36208.339999999997</v>
      </c>
      <c r="AH253" s="9">
        <f>24166.63+12041.65</f>
        <v>36208.28</v>
      </c>
      <c r="AI253" s="10">
        <f>25000+11075</f>
        <v>36075</v>
      </c>
      <c r="AJ253" s="10">
        <f t="shared" ref="AJ253:AO253" si="185">25000+11075</f>
        <v>36075</v>
      </c>
      <c r="AK253" s="10">
        <f t="shared" si="185"/>
        <v>36075</v>
      </c>
      <c r="AL253" s="10">
        <f t="shared" si="185"/>
        <v>36075</v>
      </c>
      <c r="AM253" s="10">
        <f t="shared" si="185"/>
        <v>36075</v>
      </c>
      <c r="AN253" s="10">
        <f t="shared" si="185"/>
        <v>36075</v>
      </c>
      <c r="AO253" s="55">
        <f t="shared" si="185"/>
        <v>36075</v>
      </c>
      <c r="AP253" s="10">
        <f>SUM(AD253:AO253)</f>
        <v>433566.64</v>
      </c>
      <c r="AR253" s="33"/>
    </row>
    <row r="254" spans="1:44" ht="13.5" thickBot="1" x14ac:dyDescent="0.35">
      <c r="C254" s="11" t="s">
        <v>85</v>
      </c>
      <c r="D254" s="12">
        <f t="shared" ref="D254:O254" si="186">SUM(D251:D253)</f>
        <v>37022.5</v>
      </c>
      <c r="E254" s="12">
        <f t="shared" si="186"/>
        <v>36750.83</v>
      </c>
      <c r="F254" s="12">
        <f t="shared" si="186"/>
        <v>36750.83</v>
      </c>
      <c r="G254" s="12">
        <f t="shared" si="186"/>
        <v>36750.83</v>
      </c>
      <c r="H254" s="12">
        <f t="shared" si="186"/>
        <v>36750.83</v>
      </c>
      <c r="I254" s="12">
        <f t="shared" si="186"/>
        <v>36684.160000000003</v>
      </c>
      <c r="J254" s="12">
        <f t="shared" si="186"/>
        <v>36684.160000000003</v>
      </c>
      <c r="K254" s="12">
        <f t="shared" si="186"/>
        <v>36684.160000000003</v>
      </c>
      <c r="L254" s="12">
        <f t="shared" si="186"/>
        <v>36684.160000000003</v>
      </c>
      <c r="M254" s="12">
        <f t="shared" si="186"/>
        <v>36684.160000000003</v>
      </c>
      <c r="N254" s="12">
        <f t="shared" si="186"/>
        <v>36684.160000000003</v>
      </c>
      <c r="O254" s="12">
        <f t="shared" si="186"/>
        <v>36684.160000000003</v>
      </c>
      <c r="P254" s="12">
        <f>SUM(P251:P253)</f>
        <v>440814.94000000012</v>
      </c>
      <c r="Q254" s="12">
        <f t="shared" ref="Q254:AB254" si="187">SUM(Q251:Q253)</f>
        <v>36934.160000000003</v>
      </c>
      <c r="R254" s="12">
        <f t="shared" si="187"/>
        <v>36661.660000000003</v>
      </c>
      <c r="S254" s="12">
        <f t="shared" si="187"/>
        <v>36661.660000000003</v>
      </c>
      <c r="T254" s="12">
        <f t="shared" si="187"/>
        <v>36661.660000000003</v>
      </c>
      <c r="U254" s="12">
        <f t="shared" si="187"/>
        <v>36661.699999999997</v>
      </c>
      <c r="V254" s="12">
        <f t="shared" si="187"/>
        <v>36561.67</v>
      </c>
      <c r="W254" s="12">
        <f t="shared" si="187"/>
        <v>36561.67</v>
      </c>
      <c r="X254" s="12">
        <f t="shared" si="187"/>
        <v>36561.67</v>
      </c>
      <c r="Y254" s="12">
        <f t="shared" si="187"/>
        <v>36561.67</v>
      </c>
      <c r="Z254" s="12">
        <f t="shared" si="187"/>
        <v>36561.67</v>
      </c>
      <c r="AA254" s="12">
        <f t="shared" si="187"/>
        <v>36561.65</v>
      </c>
      <c r="AB254" s="12">
        <f t="shared" si="187"/>
        <v>36561.67</v>
      </c>
      <c r="AC254" s="12">
        <f>SUM(AC251:AC253)</f>
        <v>439512.50999999995</v>
      </c>
      <c r="AD254" s="12">
        <f>SUM(AD251:AD253)</f>
        <v>36811.67</v>
      </c>
      <c r="AE254" s="12">
        <f>SUM(AE251:AE253)</f>
        <v>36538.339999999997</v>
      </c>
      <c r="AF254" s="12">
        <f t="shared" ref="AF254:AO254" si="188">SUM(AF251:AF253)</f>
        <v>36538.339999999997</v>
      </c>
      <c r="AG254" s="12">
        <f t="shared" si="188"/>
        <v>36538.339999999997</v>
      </c>
      <c r="AH254" s="12">
        <f t="shared" si="188"/>
        <v>36538.28</v>
      </c>
      <c r="AI254" s="12">
        <f t="shared" si="188"/>
        <v>36405</v>
      </c>
      <c r="AJ254" s="12">
        <f t="shared" si="188"/>
        <v>36405</v>
      </c>
      <c r="AK254" s="12">
        <f t="shared" si="188"/>
        <v>36405</v>
      </c>
      <c r="AL254" s="12">
        <f t="shared" si="188"/>
        <v>36405</v>
      </c>
      <c r="AM254" s="12">
        <f t="shared" si="188"/>
        <v>36405</v>
      </c>
      <c r="AN254" s="12">
        <f t="shared" si="188"/>
        <v>36405</v>
      </c>
      <c r="AO254" s="57">
        <f t="shared" si="188"/>
        <v>36405</v>
      </c>
      <c r="AP254" s="12">
        <f>SUM(AP251:AP253)</f>
        <v>437799.97000000003</v>
      </c>
    </row>
    <row r="255" spans="1:44" x14ac:dyDescent="0.3">
      <c r="C255" s="13"/>
    </row>
    <row r="256" spans="1:44" ht="15.5" x14ac:dyDescent="0.35">
      <c r="A256" s="1">
        <f>A250+1</f>
        <v>35</v>
      </c>
      <c r="B256" s="21"/>
      <c r="C256" s="22" t="s">
        <v>86</v>
      </c>
    </row>
    <row r="257" spans="2:44" x14ac:dyDescent="0.3">
      <c r="C257" s="6" t="s">
        <v>7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f>SUM(D257:O257)</f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f>SUM(Q257:AB257)</f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55">
        <v>0</v>
      </c>
      <c r="AP257" s="10">
        <f>SUM(AD257:AO257)</f>
        <v>0</v>
      </c>
    </row>
    <row r="258" spans="2:44" x14ac:dyDescent="0.3">
      <c r="C258" s="6" t="s">
        <v>8</v>
      </c>
      <c r="D258" s="9">
        <v>250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10">
        <f>SUM(D258:O258)</f>
        <v>250</v>
      </c>
      <c r="Q258" s="9">
        <v>250</v>
      </c>
      <c r="AC258" s="10">
        <f>SUM(Q258:AB258)</f>
        <v>250</v>
      </c>
      <c r="AD258" s="9">
        <v>250</v>
      </c>
      <c r="AE258" s="9"/>
      <c r="AF258" s="9"/>
      <c r="AG258" s="9"/>
      <c r="AH258" s="9"/>
      <c r="AI258" s="9"/>
      <c r="AJ258" s="9"/>
      <c r="AK258" s="9"/>
      <c r="AL258" s="9"/>
      <c r="AM258" s="9"/>
      <c r="AN258" s="23"/>
      <c r="AO258" s="56"/>
      <c r="AP258" s="10">
        <f>SUM(AD258:AO258)</f>
        <v>250</v>
      </c>
    </row>
    <row r="259" spans="2:44" ht="13.5" thickBot="1" x14ac:dyDescent="0.35">
      <c r="C259" s="6" t="s">
        <v>9</v>
      </c>
      <c r="D259" s="9">
        <f>36666.67+80458.33</f>
        <v>117125</v>
      </c>
      <c r="E259" s="9">
        <f t="shared" ref="E259:N259" si="189">36666.67+80458.33</f>
        <v>117125</v>
      </c>
      <c r="F259" s="9">
        <f t="shared" si="189"/>
        <v>117125</v>
      </c>
      <c r="G259" s="9">
        <f t="shared" si="189"/>
        <v>117125</v>
      </c>
      <c r="H259" s="9">
        <f t="shared" si="189"/>
        <v>117125</v>
      </c>
      <c r="I259" s="9">
        <f>36666.67+80458.35</f>
        <v>117125.02</v>
      </c>
      <c r="J259" s="9">
        <f t="shared" si="189"/>
        <v>117125</v>
      </c>
      <c r="K259" s="9">
        <f t="shared" si="189"/>
        <v>117125</v>
      </c>
      <c r="L259" s="9">
        <f t="shared" si="189"/>
        <v>117125</v>
      </c>
      <c r="M259" s="9">
        <f t="shared" si="189"/>
        <v>117125</v>
      </c>
      <c r="N259" s="9">
        <f t="shared" si="189"/>
        <v>117125</v>
      </c>
      <c r="O259" s="9">
        <f>36666.63+80458.35</f>
        <v>117124.98000000001</v>
      </c>
      <c r="P259" s="10">
        <f>SUM(D259:O259)</f>
        <v>1405500</v>
      </c>
      <c r="Q259" s="9">
        <f>38333.33+79083.33</f>
        <v>117416.66</v>
      </c>
      <c r="R259" s="9">
        <f t="shared" ref="R259:AA259" si="190">38333.33+79083.33</f>
        <v>117416.66</v>
      </c>
      <c r="S259" s="9">
        <f t="shared" si="190"/>
        <v>117416.66</v>
      </c>
      <c r="T259" s="9">
        <f t="shared" si="190"/>
        <v>117416.66</v>
      </c>
      <c r="U259" s="9">
        <f t="shared" si="190"/>
        <v>117416.66</v>
      </c>
      <c r="V259" s="9">
        <f>38333.33+79083.35</f>
        <v>117416.68000000001</v>
      </c>
      <c r="W259" s="9">
        <f t="shared" si="190"/>
        <v>117416.66</v>
      </c>
      <c r="X259" s="9">
        <f t="shared" si="190"/>
        <v>117416.66</v>
      </c>
      <c r="Y259" s="9">
        <f t="shared" si="190"/>
        <v>117416.66</v>
      </c>
      <c r="Z259" s="9">
        <f t="shared" si="190"/>
        <v>117416.66</v>
      </c>
      <c r="AA259" s="9">
        <f t="shared" si="190"/>
        <v>117416.66</v>
      </c>
      <c r="AB259" s="9">
        <f>38333.37+79083.35</f>
        <v>117416.72</v>
      </c>
      <c r="AC259" s="10">
        <f>SUM(Q259:AB259)</f>
        <v>1409000</v>
      </c>
      <c r="AD259" s="10">
        <f>39583.33+77645.83</f>
        <v>117229.16</v>
      </c>
      <c r="AE259" s="10">
        <f t="shared" ref="AE259:AN259" si="191">39583.33+77645.83</f>
        <v>117229.16</v>
      </c>
      <c r="AF259" s="10">
        <f t="shared" si="191"/>
        <v>117229.16</v>
      </c>
      <c r="AG259" s="10">
        <f t="shared" si="191"/>
        <v>117229.16</v>
      </c>
      <c r="AH259" s="10">
        <f t="shared" si="191"/>
        <v>117229.16</v>
      </c>
      <c r="AI259" s="10">
        <f>39583.33+77645.85</f>
        <v>117229.18000000001</v>
      </c>
      <c r="AJ259" s="10">
        <f t="shared" si="191"/>
        <v>117229.16</v>
      </c>
      <c r="AK259" s="10">
        <f t="shared" si="191"/>
        <v>117229.16</v>
      </c>
      <c r="AL259" s="10">
        <f t="shared" si="191"/>
        <v>117229.16</v>
      </c>
      <c r="AM259" s="10">
        <f t="shared" si="191"/>
        <v>117229.16</v>
      </c>
      <c r="AN259" s="10">
        <f t="shared" si="191"/>
        <v>117229.16</v>
      </c>
      <c r="AO259" s="55">
        <f>39583.37+77645.85</f>
        <v>117229.22</v>
      </c>
      <c r="AP259" s="10">
        <f>SUM(AD259:AO259)</f>
        <v>1406750</v>
      </c>
      <c r="AR259" s="33"/>
    </row>
    <row r="260" spans="2:44" ht="13.5" thickBot="1" x14ac:dyDescent="0.35">
      <c r="C260" s="11" t="s">
        <v>87</v>
      </c>
      <c r="D260" s="12">
        <f t="shared" ref="D260:O260" si="192">SUM(D257:D259)</f>
        <v>117375</v>
      </c>
      <c r="E260" s="12">
        <f t="shared" si="192"/>
        <v>117125</v>
      </c>
      <c r="F260" s="12">
        <f t="shared" si="192"/>
        <v>117125</v>
      </c>
      <c r="G260" s="12">
        <f t="shared" si="192"/>
        <v>117125</v>
      </c>
      <c r="H260" s="12">
        <f t="shared" si="192"/>
        <v>117125</v>
      </c>
      <c r="I260" s="12">
        <f t="shared" si="192"/>
        <v>117125.02</v>
      </c>
      <c r="J260" s="12">
        <f t="shared" si="192"/>
        <v>117125</v>
      </c>
      <c r="K260" s="12">
        <f t="shared" si="192"/>
        <v>117125</v>
      </c>
      <c r="L260" s="12">
        <f t="shared" si="192"/>
        <v>117125</v>
      </c>
      <c r="M260" s="12">
        <f t="shared" si="192"/>
        <v>117125</v>
      </c>
      <c r="N260" s="12">
        <f t="shared" si="192"/>
        <v>117125</v>
      </c>
      <c r="O260" s="12">
        <f t="shared" si="192"/>
        <v>117124.98000000001</v>
      </c>
      <c r="P260" s="12">
        <f>SUM(P257:P259)</f>
        <v>1405750</v>
      </c>
      <c r="Q260" s="12">
        <f t="shared" ref="Q260:AB260" si="193">SUM(Q257:Q259)</f>
        <v>117666.66</v>
      </c>
      <c r="R260" s="12">
        <f t="shared" si="193"/>
        <v>117416.66</v>
      </c>
      <c r="S260" s="12">
        <f t="shared" si="193"/>
        <v>117416.66</v>
      </c>
      <c r="T260" s="12">
        <f t="shared" si="193"/>
        <v>117416.66</v>
      </c>
      <c r="U260" s="12">
        <f t="shared" si="193"/>
        <v>117416.66</v>
      </c>
      <c r="V260" s="12">
        <f t="shared" si="193"/>
        <v>117416.68000000001</v>
      </c>
      <c r="W260" s="12">
        <f t="shared" si="193"/>
        <v>117416.66</v>
      </c>
      <c r="X260" s="12">
        <f t="shared" si="193"/>
        <v>117416.66</v>
      </c>
      <c r="Y260" s="12">
        <f t="shared" si="193"/>
        <v>117416.66</v>
      </c>
      <c r="Z260" s="12">
        <f t="shared" si="193"/>
        <v>117416.66</v>
      </c>
      <c r="AA260" s="12">
        <f t="shared" si="193"/>
        <v>117416.66</v>
      </c>
      <c r="AB260" s="12">
        <f t="shared" si="193"/>
        <v>117416.72</v>
      </c>
      <c r="AC260" s="12">
        <f>SUM(AC257:AC259)</f>
        <v>1409250</v>
      </c>
      <c r="AD260" s="12">
        <f>SUM(AD257:AD259)</f>
        <v>117479.16</v>
      </c>
      <c r="AE260" s="12">
        <f>SUM(AE257:AE259)</f>
        <v>117229.16</v>
      </c>
      <c r="AF260" s="12">
        <f t="shared" ref="AF260:AO260" si="194">SUM(AF257:AF259)</f>
        <v>117229.16</v>
      </c>
      <c r="AG260" s="12">
        <f t="shared" si="194"/>
        <v>117229.16</v>
      </c>
      <c r="AH260" s="12">
        <f t="shared" si="194"/>
        <v>117229.16</v>
      </c>
      <c r="AI260" s="12">
        <f t="shared" si="194"/>
        <v>117229.18000000001</v>
      </c>
      <c r="AJ260" s="12">
        <f t="shared" si="194"/>
        <v>117229.16</v>
      </c>
      <c r="AK260" s="12">
        <f t="shared" si="194"/>
        <v>117229.16</v>
      </c>
      <c r="AL260" s="12">
        <f t="shared" si="194"/>
        <v>117229.16</v>
      </c>
      <c r="AM260" s="12">
        <f t="shared" si="194"/>
        <v>117229.16</v>
      </c>
      <c r="AN260" s="12">
        <f t="shared" si="194"/>
        <v>117229.16</v>
      </c>
      <c r="AO260" s="57">
        <f t="shared" si="194"/>
        <v>117229.22</v>
      </c>
      <c r="AP260" s="12">
        <f>SUM(AP257:AP259)</f>
        <v>1407000</v>
      </c>
    </row>
    <row r="261" spans="2:44" x14ac:dyDescent="0.3">
      <c r="C261" s="13"/>
    </row>
    <row r="262" spans="2:44" ht="15.5" x14ac:dyDescent="0.35">
      <c r="B262" s="24" t="s">
        <v>5</v>
      </c>
      <c r="C262" s="8" t="s">
        <v>88</v>
      </c>
    </row>
    <row r="263" spans="2:44" x14ac:dyDescent="0.3">
      <c r="C263" s="6" t="s">
        <v>7</v>
      </c>
      <c r="D263" s="10">
        <v>0</v>
      </c>
      <c r="E263" s="10">
        <v>0</v>
      </c>
      <c r="F263" s="10">
        <v>0</v>
      </c>
      <c r="G263" s="10">
        <v>0</v>
      </c>
      <c r="H263" s="10"/>
      <c r="I263" s="10"/>
      <c r="J263" s="10"/>
      <c r="K263" s="10"/>
      <c r="L263" s="10"/>
      <c r="M263" s="10"/>
      <c r="N263" s="10"/>
      <c r="O263" s="10"/>
      <c r="P263" s="10">
        <f>SUM(D263:O263)</f>
        <v>0</v>
      </c>
    </row>
    <row r="264" spans="2:44" x14ac:dyDescent="0.3">
      <c r="C264" s="6" t="s">
        <v>8</v>
      </c>
      <c r="D264" s="9">
        <v>250</v>
      </c>
      <c r="E264" s="9"/>
      <c r="F264" s="9"/>
      <c r="G264" s="23"/>
      <c r="H264" s="9"/>
      <c r="I264" s="9"/>
      <c r="J264" s="9"/>
      <c r="K264" s="9"/>
      <c r="L264" s="9"/>
      <c r="M264" s="9"/>
      <c r="N264" s="9"/>
      <c r="O264" s="9"/>
      <c r="P264" s="10">
        <f>SUM(D264:O264)</f>
        <v>250</v>
      </c>
    </row>
    <row r="265" spans="2:44" ht="13.5" thickBot="1" x14ac:dyDescent="0.35">
      <c r="C265" s="6" t="s">
        <v>9</v>
      </c>
      <c r="D265" s="9">
        <v>101809.9</v>
      </c>
      <c r="E265" s="9">
        <v>101809.9</v>
      </c>
      <c r="F265" s="9">
        <v>101881.25</v>
      </c>
      <c r="G265" s="15">
        <f>101881.25-34350</f>
        <v>67531.25</v>
      </c>
      <c r="H265" s="9"/>
      <c r="I265" s="9"/>
      <c r="J265" s="9"/>
      <c r="K265" s="9"/>
      <c r="L265" s="9"/>
      <c r="M265" s="9"/>
      <c r="N265" s="9"/>
      <c r="O265" s="9"/>
      <c r="P265" s="10">
        <f>SUM(D265:O265)</f>
        <v>373032.3</v>
      </c>
    </row>
    <row r="266" spans="2:44" ht="13.5" thickBot="1" x14ac:dyDescent="0.35">
      <c r="C266" s="11" t="s">
        <v>89</v>
      </c>
      <c r="D266" s="12">
        <f t="shared" ref="D266:O266" si="195">SUM(D263:D265)</f>
        <v>102059.9</v>
      </c>
      <c r="E266" s="12">
        <f t="shared" si="195"/>
        <v>101809.9</v>
      </c>
      <c r="F266" s="12">
        <f t="shared" si="195"/>
        <v>101881.25</v>
      </c>
      <c r="G266" s="12">
        <f t="shared" si="195"/>
        <v>67531.25</v>
      </c>
      <c r="H266" s="12">
        <f t="shared" si="195"/>
        <v>0</v>
      </c>
      <c r="I266" s="12">
        <f t="shared" si="195"/>
        <v>0</v>
      </c>
      <c r="J266" s="12">
        <f t="shared" si="195"/>
        <v>0</v>
      </c>
      <c r="K266" s="12">
        <f t="shared" si="195"/>
        <v>0</v>
      </c>
      <c r="L266" s="12">
        <f t="shared" si="195"/>
        <v>0</v>
      </c>
      <c r="M266" s="12">
        <f t="shared" si="195"/>
        <v>0</v>
      </c>
      <c r="N266" s="12">
        <f t="shared" si="195"/>
        <v>0</v>
      </c>
      <c r="O266" s="12">
        <f t="shared" si="195"/>
        <v>0</v>
      </c>
      <c r="P266" s="12">
        <f>SUM(P263:P265)</f>
        <v>373282.3</v>
      </c>
    </row>
    <row r="267" spans="2:44" x14ac:dyDescent="0.3">
      <c r="C267" s="13"/>
    </row>
    <row r="268" spans="2:44" ht="15.5" x14ac:dyDescent="0.35">
      <c r="B268" s="24" t="s">
        <v>5</v>
      </c>
      <c r="C268" s="8" t="s">
        <v>90</v>
      </c>
    </row>
    <row r="269" spans="2:44" x14ac:dyDescent="0.3">
      <c r="C269" s="6" t="s">
        <v>7</v>
      </c>
      <c r="D269" s="10">
        <v>0</v>
      </c>
      <c r="E269" s="10">
        <v>0</v>
      </c>
      <c r="F269" s="10">
        <v>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>
        <f>SUM(D269:O269)</f>
        <v>0</v>
      </c>
    </row>
    <row r="270" spans="2:44" x14ac:dyDescent="0.3">
      <c r="C270" s="6" t="s">
        <v>8</v>
      </c>
      <c r="D270" s="9">
        <v>250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10">
        <f>SUM(D270:O270)</f>
        <v>250</v>
      </c>
    </row>
    <row r="271" spans="2:44" ht="13.5" thickBot="1" x14ac:dyDescent="0.35">
      <c r="C271" s="6" t="s">
        <v>9</v>
      </c>
      <c r="D271" s="9">
        <v>179597.24</v>
      </c>
      <c r="E271" s="9">
        <v>179597.24</v>
      </c>
      <c r="F271" s="9">
        <v>179597.24</v>
      </c>
      <c r="G271" s="10"/>
      <c r="H271" s="9"/>
      <c r="I271" s="9"/>
      <c r="J271" s="9"/>
      <c r="K271" s="9"/>
      <c r="L271" s="9"/>
      <c r="M271" s="9"/>
      <c r="N271" s="9"/>
      <c r="O271" s="9"/>
      <c r="P271" s="10">
        <f>SUM(D271:O271)</f>
        <v>538791.72</v>
      </c>
    </row>
    <row r="272" spans="2:44" ht="13.5" thickBot="1" x14ac:dyDescent="0.35">
      <c r="C272" s="11" t="s">
        <v>91</v>
      </c>
      <c r="D272" s="12">
        <f t="shared" ref="D272:O272" si="196">SUM(D269:D271)</f>
        <v>179847.24</v>
      </c>
      <c r="E272" s="12">
        <f t="shared" si="196"/>
        <v>179597.24</v>
      </c>
      <c r="F272" s="12">
        <f t="shared" si="196"/>
        <v>179597.24</v>
      </c>
      <c r="G272" s="12">
        <f t="shared" si="196"/>
        <v>0</v>
      </c>
      <c r="H272" s="12">
        <f t="shared" si="196"/>
        <v>0</v>
      </c>
      <c r="I272" s="12">
        <f t="shared" si="196"/>
        <v>0</v>
      </c>
      <c r="J272" s="12">
        <f t="shared" si="196"/>
        <v>0</v>
      </c>
      <c r="K272" s="12">
        <f t="shared" si="196"/>
        <v>0</v>
      </c>
      <c r="L272" s="12">
        <f t="shared" si="196"/>
        <v>0</v>
      </c>
      <c r="M272" s="12">
        <f t="shared" si="196"/>
        <v>0</v>
      </c>
      <c r="N272" s="12">
        <f t="shared" si="196"/>
        <v>0</v>
      </c>
      <c r="O272" s="12">
        <f t="shared" si="196"/>
        <v>0</v>
      </c>
      <c r="P272" s="12">
        <f>SUM(P269:P271)</f>
        <v>539041.72</v>
      </c>
    </row>
    <row r="273" spans="1:44" x14ac:dyDescent="0.3">
      <c r="C273" s="13"/>
    </row>
    <row r="274" spans="1:44" ht="15.5" x14ac:dyDescent="0.35">
      <c r="B274" s="24" t="s">
        <v>5</v>
      </c>
      <c r="C274" s="8" t="s">
        <v>92</v>
      </c>
    </row>
    <row r="275" spans="1:44" x14ac:dyDescent="0.3">
      <c r="C275" s="6" t="s">
        <v>7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f>SUM(D275:O275)</f>
        <v>0</v>
      </c>
      <c r="Q275" s="10">
        <v>0</v>
      </c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>
        <f>SUM(Q275:AB275)</f>
        <v>0</v>
      </c>
    </row>
    <row r="276" spans="1:44" x14ac:dyDescent="0.3">
      <c r="C276" s="6" t="s">
        <v>8</v>
      </c>
      <c r="D276" s="9">
        <v>250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10">
        <f>SUM(D276:O276)</f>
        <v>250</v>
      </c>
      <c r="Q276" s="9">
        <v>250</v>
      </c>
      <c r="AC276" s="10">
        <f>SUM(Q276:AB276)</f>
        <v>250</v>
      </c>
    </row>
    <row r="277" spans="1:44" ht="13.5" thickBot="1" x14ac:dyDescent="0.35">
      <c r="C277" s="6" t="s">
        <v>9</v>
      </c>
      <c r="D277" s="9">
        <f>29166.66+32569.27</f>
        <v>61735.93</v>
      </c>
      <c r="E277" s="9">
        <f>29166.66+32569.27</f>
        <v>61735.93</v>
      </c>
      <c r="F277" s="9">
        <f>29166.66+32569.27</f>
        <v>61735.93</v>
      </c>
      <c r="G277" s="9">
        <f>29166.74+32569.28</f>
        <v>61736.020000000004</v>
      </c>
      <c r="H277" s="9">
        <f>30000+31511.98</f>
        <v>61511.979999999996</v>
      </c>
      <c r="I277" s="9">
        <f t="shared" ref="I277:Q277" si="197">30000+31511.98</f>
        <v>61511.979999999996</v>
      </c>
      <c r="J277" s="9">
        <f t="shared" si="197"/>
        <v>61511.979999999996</v>
      </c>
      <c r="K277" s="9">
        <f t="shared" si="197"/>
        <v>61511.979999999996</v>
      </c>
      <c r="L277" s="9">
        <f t="shared" si="197"/>
        <v>61511.979999999996</v>
      </c>
      <c r="M277" s="9">
        <f t="shared" si="197"/>
        <v>61511.979999999996</v>
      </c>
      <c r="N277" s="9">
        <f t="shared" si="197"/>
        <v>61511.979999999996</v>
      </c>
      <c r="O277" s="9">
        <f t="shared" si="197"/>
        <v>61511.979999999996</v>
      </c>
      <c r="P277" s="10">
        <f>SUM(D277:O277)</f>
        <v>739039.64999999991</v>
      </c>
      <c r="Q277" s="9">
        <f t="shared" si="197"/>
        <v>61511.979999999996</v>
      </c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10">
        <f>SUM(Q277:AB277)</f>
        <v>61511.979999999996</v>
      </c>
    </row>
    <row r="278" spans="1:44" ht="13.5" thickBot="1" x14ac:dyDescent="0.35">
      <c r="C278" s="11" t="s">
        <v>93</v>
      </c>
      <c r="D278" s="12">
        <f t="shared" ref="D278:O278" si="198">SUM(D275:D277)</f>
        <v>61985.93</v>
      </c>
      <c r="E278" s="12">
        <f t="shared" si="198"/>
        <v>61735.93</v>
      </c>
      <c r="F278" s="12">
        <f t="shared" si="198"/>
        <v>61735.93</v>
      </c>
      <c r="G278" s="12">
        <f t="shared" si="198"/>
        <v>61736.020000000004</v>
      </c>
      <c r="H278" s="12">
        <f t="shared" si="198"/>
        <v>61511.979999999996</v>
      </c>
      <c r="I278" s="12">
        <f t="shared" si="198"/>
        <v>61511.979999999996</v>
      </c>
      <c r="J278" s="12">
        <f t="shared" si="198"/>
        <v>61511.979999999996</v>
      </c>
      <c r="K278" s="12">
        <f t="shared" si="198"/>
        <v>61511.979999999996</v>
      </c>
      <c r="L278" s="12">
        <f t="shared" si="198"/>
        <v>61511.979999999996</v>
      </c>
      <c r="M278" s="12">
        <f t="shared" si="198"/>
        <v>61511.979999999996</v>
      </c>
      <c r="N278" s="12">
        <f t="shared" si="198"/>
        <v>61511.979999999996</v>
      </c>
      <c r="O278" s="12">
        <f t="shared" si="198"/>
        <v>61511.979999999996</v>
      </c>
      <c r="P278" s="12">
        <f>SUM(P275:P277)</f>
        <v>739289.64999999991</v>
      </c>
      <c r="Q278" s="12">
        <f t="shared" ref="Q278:AB278" si="199">SUM(Q275:Q277)</f>
        <v>61761.979999999996</v>
      </c>
      <c r="R278" s="12">
        <f t="shared" si="199"/>
        <v>0</v>
      </c>
      <c r="S278" s="12">
        <f t="shared" si="199"/>
        <v>0</v>
      </c>
      <c r="T278" s="12">
        <f t="shared" si="199"/>
        <v>0</v>
      </c>
      <c r="U278" s="12">
        <f t="shared" si="199"/>
        <v>0</v>
      </c>
      <c r="V278" s="12">
        <f t="shared" si="199"/>
        <v>0</v>
      </c>
      <c r="W278" s="12">
        <f t="shared" si="199"/>
        <v>0</v>
      </c>
      <c r="X278" s="12">
        <f t="shared" si="199"/>
        <v>0</v>
      </c>
      <c r="Y278" s="12">
        <f t="shared" si="199"/>
        <v>0</v>
      </c>
      <c r="Z278" s="12">
        <f t="shared" si="199"/>
        <v>0</v>
      </c>
      <c r="AA278" s="12">
        <f t="shared" si="199"/>
        <v>0</v>
      </c>
      <c r="AB278" s="12">
        <f t="shared" si="199"/>
        <v>0</v>
      </c>
      <c r="AC278" s="12">
        <f>SUM(AC275:AC277)</f>
        <v>61761.979999999996</v>
      </c>
    </row>
    <row r="279" spans="1:44" x14ac:dyDescent="0.3">
      <c r="C279" s="13"/>
    </row>
    <row r="280" spans="1:44" ht="15.5" x14ac:dyDescent="0.35">
      <c r="A280" s="1">
        <f>A256+1</f>
        <v>36</v>
      </c>
      <c r="B280" s="21"/>
      <c r="C280" s="22" t="s">
        <v>94</v>
      </c>
    </row>
    <row r="281" spans="1:44" x14ac:dyDescent="0.3">
      <c r="C281" s="6" t="s">
        <v>7</v>
      </c>
      <c r="D281" s="9">
        <v>464.17</v>
      </c>
      <c r="E281" s="9">
        <v>464.17</v>
      </c>
      <c r="F281" s="9">
        <v>464.17</v>
      </c>
      <c r="G281" s="9">
        <v>464.17</v>
      </c>
      <c r="H281" s="9">
        <v>464.17</v>
      </c>
      <c r="I281" s="9">
        <v>464.17</v>
      </c>
      <c r="J281" s="9">
        <v>464.17</v>
      </c>
      <c r="K281" s="9">
        <v>452.08</v>
      </c>
      <c r="L281" s="9">
        <v>452.08</v>
      </c>
      <c r="M281" s="9">
        <v>452.08</v>
      </c>
      <c r="N281" s="9">
        <v>452.08</v>
      </c>
      <c r="O281" s="9">
        <v>452.08</v>
      </c>
      <c r="P281" s="10">
        <f>SUM(D281:O281)</f>
        <v>5509.59</v>
      </c>
      <c r="Q281" s="9">
        <v>452.08</v>
      </c>
      <c r="R281" s="9">
        <v>452.08</v>
      </c>
      <c r="S281" s="9">
        <v>452.08</v>
      </c>
      <c r="T281" s="9">
        <v>452.08</v>
      </c>
      <c r="U281" s="9">
        <v>452.08</v>
      </c>
      <c r="V281" s="9">
        <v>452.08</v>
      </c>
      <c r="W281" s="9">
        <v>452.08</v>
      </c>
      <c r="X281" s="9">
        <v>439.58</v>
      </c>
      <c r="Y281" s="9">
        <v>439.58</v>
      </c>
      <c r="Z281" s="9">
        <v>439.58</v>
      </c>
      <c r="AA281" s="9">
        <v>439.58</v>
      </c>
      <c r="AB281" s="9">
        <v>439.58</v>
      </c>
      <c r="AC281" s="10">
        <f>SUM(Q281:AB281)</f>
        <v>5362.46</v>
      </c>
      <c r="AD281" s="9">
        <v>439.58</v>
      </c>
      <c r="AE281" s="9">
        <v>439.58</v>
      </c>
      <c r="AF281" s="9">
        <v>439.58</v>
      </c>
      <c r="AG281" s="9">
        <v>439.58</v>
      </c>
      <c r="AH281" s="9">
        <v>439.58</v>
      </c>
      <c r="AI281" s="9">
        <v>439.58</v>
      </c>
      <c r="AJ281" s="9">
        <v>439.58</v>
      </c>
      <c r="AK281" s="10">
        <v>426.67</v>
      </c>
      <c r="AL281" s="10">
        <v>426.67</v>
      </c>
      <c r="AM281" s="10">
        <v>426.67</v>
      </c>
      <c r="AN281" s="10">
        <v>426.67</v>
      </c>
      <c r="AO281" s="55">
        <v>426.67</v>
      </c>
      <c r="AP281" s="10">
        <f>SUM(AD281:AO281)</f>
        <v>5210.41</v>
      </c>
    </row>
    <row r="282" spans="1:44" x14ac:dyDescent="0.3">
      <c r="C282" s="6" t="s">
        <v>8</v>
      </c>
      <c r="D282" s="9">
        <v>250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10">
        <f>SUM(D282:O282)</f>
        <v>250</v>
      </c>
      <c r="Q282" s="9">
        <v>250</v>
      </c>
      <c r="AC282" s="10">
        <f>SUM(Q282:AB282)</f>
        <v>250</v>
      </c>
      <c r="AD282" s="9">
        <v>250</v>
      </c>
      <c r="AE282" s="9"/>
      <c r="AF282" s="9"/>
      <c r="AG282" s="9"/>
      <c r="AH282" s="9"/>
      <c r="AI282" s="9"/>
      <c r="AJ282" s="9"/>
      <c r="AK282" s="9"/>
      <c r="AL282" s="9"/>
      <c r="AM282" s="9"/>
      <c r="AN282" s="23"/>
      <c r="AO282" s="56"/>
      <c r="AP282" s="10">
        <f>SUM(AD282:AO282)</f>
        <v>250</v>
      </c>
    </row>
    <row r="283" spans="1:44" ht="13.5" thickBot="1" x14ac:dyDescent="0.35">
      <c r="C283" s="6" t="s">
        <v>9</v>
      </c>
      <c r="D283" s="9">
        <f t="shared" ref="D283:J283" si="200">12083.33+19708.33</f>
        <v>31791.660000000003</v>
      </c>
      <c r="E283" s="9">
        <f>12083.33+19708.35</f>
        <v>31791.68</v>
      </c>
      <c r="F283" s="9">
        <f t="shared" si="200"/>
        <v>31791.660000000003</v>
      </c>
      <c r="G283" s="9">
        <f t="shared" si="200"/>
        <v>31791.660000000003</v>
      </c>
      <c r="H283" s="9">
        <f t="shared" si="200"/>
        <v>31791.660000000003</v>
      </c>
      <c r="I283" s="9">
        <f t="shared" si="200"/>
        <v>31791.660000000003</v>
      </c>
      <c r="J283" s="9">
        <f t="shared" si="200"/>
        <v>31791.660000000003</v>
      </c>
      <c r="K283" s="9">
        <f>12083.37+19708.35</f>
        <v>31791.72</v>
      </c>
      <c r="L283" s="9">
        <f>12500+19225</f>
        <v>31725</v>
      </c>
      <c r="M283" s="9">
        <f>12500+19225</f>
        <v>31725</v>
      </c>
      <c r="N283" s="9">
        <f>12500+19225</f>
        <v>31725</v>
      </c>
      <c r="O283" s="9">
        <f>12500+19225</f>
        <v>31725</v>
      </c>
      <c r="P283" s="10">
        <f>SUM(D283:O283)</f>
        <v>381233.36</v>
      </c>
      <c r="Q283" s="9">
        <f t="shared" ref="Q283:X283" si="201">12500+19225</f>
        <v>31725</v>
      </c>
      <c r="R283" s="9">
        <f t="shared" si="201"/>
        <v>31725</v>
      </c>
      <c r="S283" s="9">
        <f t="shared" si="201"/>
        <v>31725</v>
      </c>
      <c r="T283" s="9">
        <f t="shared" si="201"/>
        <v>31725</v>
      </c>
      <c r="U283" s="9">
        <f t="shared" si="201"/>
        <v>31725</v>
      </c>
      <c r="V283" s="9">
        <f t="shared" si="201"/>
        <v>31725</v>
      </c>
      <c r="W283" s="9">
        <f t="shared" si="201"/>
        <v>31725</v>
      </c>
      <c r="X283" s="9">
        <f t="shared" si="201"/>
        <v>31725</v>
      </c>
      <c r="Y283" s="9">
        <f>12916.67+18725</f>
        <v>31641.67</v>
      </c>
      <c r="Z283" s="9">
        <f>12916.67+18725</f>
        <v>31641.67</v>
      </c>
      <c r="AA283" s="9">
        <f>12916.67+18725</f>
        <v>31641.67</v>
      </c>
      <c r="AB283" s="9">
        <f>12916.67+18725</f>
        <v>31641.67</v>
      </c>
      <c r="AC283" s="10">
        <f>SUM(Q283:AB283)</f>
        <v>380366.67999999993</v>
      </c>
      <c r="AD283" s="9">
        <f t="shared" ref="AD283:AJ283" si="202">12916.67+18725</f>
        <v>31641.67</v>
      </c>
      <c r="AE283" s="9">
        <f t="shared" si="202"/>
        <v>31641.67</v>
      </c>
      <c r="AF283" s="9">
        <f t="shared" si="202"/>
        <v>31641.67</v>
      </c>
      <c r="AG283" s="9">
        <f t="shared" si="202"/>
        <v>31641.67</v>
      </c>
      <c r="AH283" s="9">
        <f t="shared" si="202"/>
        <v>31641.67</v>
      </c>
      <c r="AI283" s="9">
        <f t="shared" si="202"/>
        <v>31641.67</v>
      </c>
      <c r="AJ283" s="9">
        <f t="shared" si="202"/>
        <v>31641.67</v>
      </c>
      <c r="AK283" s="9">
        <f>12916.63+18725</f>
        <v>31641.629999999997</v>
      </c>
      <c r="AL283" s="10">
        <f>13333.33+18208.33</f>
        <v>31541.660000000003</v>
      </c>
      <c r="AM283" s="10">
        <f>13333.33+18208.33</f>
        <v>31541.660000000003</v>
      </c>
      <c r="AN283" s="10">
        <f>13333.33+18208.33</f>
        <v>31541.660000000003</v>
      </c>
      <c r="AO283" s="55">
        <f>13333.33+18208.33</f>
        <v>31541.660000000003</v>
      </c>
      <c r="AP283" s="10">
        <f>SUM(AD283:AO283)</f>
        <v>379299.96000000008</v>
      </c>
      <c r="AR283" s="33"/>
    </row>
    <row r="284" spans="1:44" ht="13.5" thickBot="1" x14ac:dyDescent="0.35">
      <c r="C284" s="11" t="s">
        <v>95</v>
      </c>
      <c r="D284" s="12">
        <f t="shared" ref="D284:O284" si="203">SUM(D281:D283)</f>
        <v>32505.83</v>
      </c>
      <c r="E284" s="12">
        <f t="shared" si="203"/>
        <v>32255.85</v>
      </c>
      <c r="F284" s="12">
        <f t="shared" si="203"/>
        <v>32255.83</v>
      </c>
      <c r="G284" s="12">
        <f t="shared" si="203"/>
        <v>32255.83</v>
      </c>
      <c r="H284" s="12">
        <f t="shared" si="203"/>
        <v>32255.83</v>
      </c>
      <c r="I284" s="12">
        <f t="shared" si="203"/>
        <v>32255.83</v>
      </c>
      <c r="J284" s="12">
        <f t="shared" si="203"/>
        <v>32255.83</v>
      </c>
      <c r="K284" s="12">
        <f t="shared" si="203"/>
        <v>32243.800000000003</v>
      </c>
      <c r="L284" s="12">
        <f t="shared" si="203"/>
        <v>32177.08</v>
      </c>
      <c r="M284" s="12">
        <f t="shared" si="203"/>
        <v>32177.08</v>
      </c>
      <c r="N284" s="12">
        <f t="shared" si="203"/>
        <v>32177.08</v>
      </c>
      <c r="O284" s="12">
        <f t="shared" si="203"/>
        <v>32177.08</v>
      </c>
      <c r="P284" s="12">
        <f>SUM(P281:P283)</f>
        <v>386992.95</v>
      </c>
      <c r="Q284" s="12">
        <f t="shared" ref="Q284:AB284" si="204">SUM(Q281:Q283)</f>
        <v>32427.08</v>
      </c>
      <c r="R284" s="12">
        <f t="shared" si="204"/>
        <v>32177.08</v>
      </c>
      <c r="S284" s="12">
        <f t="shared" si="204"/>
        <v>32177.08</v>
      </c>
      <c r="T284" s="12">
        <f t="shared" si="204"/>
        <v>32177.08</v>
      </c>
      <c r="U284" s="12">
        <f t="shared" si="204"/>
        <v>32177.08</v>
      </c>
      <c r="V284" s="12">
        <f t="shared" si="204"/>
        <v>32177.08</v>
      </c>
      <c r="W284" s="12">
        <f t="shared" si="204"/>
        <v>32177.08</v>
      </c>
      <c r="X284" s="12">
        <f t="shared" si="204"/>
        <v>32164.58</v>
      </c>
      <c r="Y284" s="12">
        <f t="shared" si="204"/>
        <v>32081.25</v>
      </c>
      <c r="Z284" s="12">
        <f t="shared" si="204"/>
        <v>32081.25</v>
      </c>
      <c r="AA284" s="12">
        <f t="shared" si="204"/>
        <v>32081.25</v>
      </c>
      <c r="AB284" s="12">
        <f t="shared" si="204"/>
        <v>32081.25</v>
      </c>
      <c r="AC284" s="12">
        <f>SUM(AC281:AC283)</f>
        <v>385979.13999999996</v>
      </c>
      <c r="AD284" s="12">
        <f>SUM(AD281:AD283)</f>
        <v>32331.25</v>
      </c>
      <c r="AE284" s="12">
        <f>SUM(AE281:AE283)</f>
        <v>32081.25</v>
      </c>
      <c r="AF284" s="12">
        <f t="shared" ref="AF284:AO284" si="205">SUM(AF281:AF283)</f>
        <v>32081.25</v>
      </c>
      <c r="AG284" s="12">
        <f t="shared" si="205"/>
        <v>32081.25</v>
      </c>
      <c r="AH284" s="12">
        <f t="shared" si="205"/>
        <v>32081.25</v>
      </c>
      <c r="AI284" s="12">
        <f t="shared" si="205"/>
        <v>32081.25</v>
      </c>
      <c r="AJ284" s="12">
        <f t="shared" si="205"/>
        <v>32081.25</v>
      </c>
      <c r="AK284" s="12">
        <f t="shared" si="205"/>
        <v>32068.299999999996</v>
      </c>
      <c r="AL284" s="12">
        <f t="shared" si="205"/>
        <v>31968.33</v>
      </c>
      <c r="AM284" s="12">
        <f t="shared" si="205"/>
        <v>31968.33</v>
      </c>
      <c r="AN284" s="12">
        <f t="shared" si="205"/>
        <v>31968.33</v>
      </c>
      <c r="AO284" s="57">
        <f t="shared" si="205"/>
        <v>31968.33</v>
      </c>
      <c r="AP284" s="12">
        <f>SUM(AP281:AP283)</f>
        <v>384760.37000000005</v>
      </c>
    </row>
    <row r="285" spans="1:44" x14ac:dyDescent="0.3">
      <c r="C285" s="13"/>
    </row>
    <row r="286" spans="1:44" ht="15.5" x14ac:dyDescent="0.35">
      <c r="A286" s="1">
        <f>A280+1</f>
        <v>37</v>
      </c>
      <c r="B286" s="21"/>
      <c r="C286" s="22" t="s">
        <v>96</v>
      </c>
    </row>
    <row r="287" spans="1:44" x14ac:dyDescent="0.3">
      <c r="C287" s="6" t="s">
        <v>7</v>
      </c>
      <c r="D287" s="9">
        <v>961.67</v>
      </c>
      <c r="E287" s="9">
        <v>961.67</v>
      </c>
      <c r="F287" s="9">
        <v>961.67</v>
      </c>
      <c r="G287" s="9">
        <v>961.67</v>
      </c>
      <c r="H287" s="9">
        <v>961.67</v>
      </c>
      <c r="I287" s="9">
        <v>961.67</v>
      </c>
      <c r="J287" s="9">
        <v>961.67</v>
      </c>
      <c r="K287" s="9">
        <v>950</v>
      </c>
      <c r="L287" s="9">
        <v>950</v>
      </c>
      <c r="M287" s="9">
        <v>950</v>
      </c>
      <c r="N287" s="9">
        <v>950</v>
      </c>
      <c r="O287" s="9">
        <v>926.25</v>
      </c>
      <c r="P287" s="10">
        <f>SUM(D287:O287)</f>
        <v>11457.939999999999</v>
      </c>
      <c r="Q287" s="9">
        <v>926.25</v>
      </c>
      <c r="R287" s="9">
        <v>926.25</v>
      </c>
      <c r="S287" s="9">
        <v>926.25</v>
      </c>
      <c r="T287" s="9">
        <v>926.25</v>
      </c>
      <c r="U287" s="9">
        <v>926.25</v>
      </c>
      <c r="V287" s="9">
        <v>926.25</v>
      </c>
      <c r="W287" s="9">
        <v>926.25</v>
      </c>
      <c r="X287" s="9">
        <v>914.17</v>
      </c>
      <c r="Y287" s="9">
        <v>914.17</v>
      </c>
      <c r="Z287" s="9">
        <v>914.17</v>
      </c>
      <c r="AA287" s="9">
        <v>914.17</v>
      </c>
      <c r="AB287" s="9">
        <v>890</v>
      </c>
      <c r="AC287" s="10">
        <f>SUM(Q287:AB287)</f>
        <v>11030.43</v>
      </c>
      <c r="AD287" s="9">
        <v>890</v>
      </c>
      <c r="AE287" s="9">
        <v>890</v>
      </c>
      <c r="AF287" s="9">
        <v>890</v>
      </c>
      <c r="AG287" s="9">
        <v>890</v>
      </c>
      <c r="AH287" s="9">
        <v>890</v>
      </c>
      <c r="AI287" s="9">
        <v>890</v>
      </c>
      <c r="AJ287" s="9">
        <v>890</v>
      </c>
      <c r="AK287" s="10">
        <v>877.5</v>
      </c>
      <c r="AL287" s="10">
        <v>877.5</v>
      </c>
      <c r="AM287" s="10">
        <v>877.5</v>
      </c>
      <c r="AN287" s="10">
        <v>877.5</v>
      </c>
      <c r="AO287" s="55">
        <v>852.92</v>
      </c>
      <c r="AP287" s="10">
        <f>SUM(AD287:AO287)</f>
        <v>10592.92</v>
      </c>
    </row>
    <row r="288" spans="1:44" x14ac:dyDescent="0.3">
      <c r="C288" s="6" t="s">
        <v>8</v>
      </c>
      <c r="D288" s="9">
        <v>250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10">
        <f>SUM(D288:O288)</f>
        <v>250</v>
      </c>
      <c r="Q288" s="9">
        <v>250</v>
      </c>
      <c r="AC288" s="10">
        <f>SUM(Q288:AB288)</f>
        <v>250</v>
      </c>
      <c r="AD288" s="9">
        <v>250</v>
      </c>
      <c r="AE288" s="9"/>
      <c r="AF288" s="9"/>
      <c r="AG288" s="9"/>
      <c r="AH288" s="9"/>
      <c r="AI288" s="9"/>
      <c r="AJ288" s="9"/>
      <c r="AK288" s="9"/>
      <c r="AL288" s="9"/>
      <c r="AM288" s="9"/>
      <c r="AN288" s="23"/>
      <c r="AO288" s="56"/>
      <c r="AP288" s="10">
        <f>SUM(AD288:AO288)</f>
        <v>250</v>
      </c>
    </row>
    <row r="289" spans="1:44" ht="13.5" thickBot="1" x14ac:dyDescent="0.35">
      <c r="C289" s="6" t="s">
        <v>9</v>
      </c>
      <c r="D289" s="9">
        <f>35416.67+39221.88</f>
        <v>74638.549999999988</v>
      </c>
      <c r="E289" s="9">
        <f>35416.67+39221.88</f>
        <v>74638.549999999988</v>
      </c>
      <c r="F289" s="9">
        <f>35416.67+39221.88</f>
        <v>74638.549999999988</v>
      </c>
      <c r="G289" s="9">
        <f>35416.63+39221.85</f>
        <v>74638.48</v>
      </c>
      <c r="H289" s="9">
        <f>36250+38220.83</f>
        <v>74470.83</v>
      </c>
      <c r="I289" s="9">
        <f t="shared" ref="I289:S289" si="206">36250+38220.83</f>
        <v>74470.83</v>
      </c>
      <c r="J289" s="9">
        <f t="shared" si="206"/>
        <v>74470.83</v>
      </c>
      <c r="K289" s="9">
        <f t="shared" si="206"/>
        <v>74470.83</v>
      </c>
      <c r="L289" s="9">
        <f t="shared" si="206"/>
        <v>74470.83</v>
      </c>
      <c r="M289" s="9">
        <f>36250+38220.85</f>
        <v>74470.850000000006</v>
      </c>
      <c r="N289" s="9">
        <f t="shared" si="206"/>
        <v>74470.83</v>
      </c>
      <c r="O289" s="9">
        <f t="shared" si="206"/>
        <v>74470.83</v>
      </c>
      <c r="P289" s="10">
        <f>SUM(D289:O289)</f>
        <v>894320.7899999998</v>
      </c>
      <c r="Q289" s="9">
        <f t="shared" si="206"/>
        <v>74470.83</v>
      </c>
      <c r="R289" s="9">
        <f t="shared" si="206"/>
        <v>74470.83</v>
      </c>
      <c r="S289" s="9">
        <f t="shared" si="206"/>
        <v>74470.83</v>
      </c>
      <c r="T289" s="9">
        <f>36250+38220.85</f>
        <v>74470.850000000006</v>
      </c>
      <c r="U289" s="9">
        <f>37083.33+37133.33</f>
        <v>74216.66</v>
      </c>
      <c r="V289" s="9">
        <f t="shared" ref="V289:AF289" si="207">37083.33+37133.33</f>
        <v>74216.66</v>
      </c>
      <c r="W289" s="9">
        <f t="shared" si="207"/>
        <v>74216.66</v>
      </c>
      <c r="X289" s="9">
        <f t="shared" si="207"/>
        <v>74216.66</v>
      </c>
      <c r="Y289" s="9">
        <f t="shared" si="207"/>
        <v>74216.66</v>
      </c>
      <c r="Z289" s="9">
        <f>37083.33+37133.35</f>
        <v>74216.679999999993</v>
      </c>
      <c r="AA289" s="9">
        <f t="shared" si="207"/>
        <v>74216.66</v>
      </c>
      <c r="AB289" s="9">
        <f t="shared" si="207"/>
        <v>74216.66</v>
      </c>
      <c r="AC289" s="10">
        <f>SUM(Q289:AB289)</f>
        <v>891616.64000000013</v>
      </c>
      <c r="AD289" s="9">
        <f t="shared" si="207"/>
        <v>74216.66</v>
      </c>
      <c r="AE289" s="9">
        <f t="shared" si="207"/>
        <v>74216.66</v>
      </c>
      <c r="AF289" s="9">
        <f t="shared" si="207"/>
        <v>74216.66</v>
      </c>
      <c r="AG289" s="9">
        <f>37083.37+37133.35</f>
        <v>74216.72</v>
      </c>
      <c r="AH289" s="10">
        <f>38333.33+35957.29</f>
        <v>74290.62</v>
      </c>
      <c r="AI289" s="10">
        <f t="shared" ref="AI289:AO289" si="208">38333.33+35957.29</f>
        <v>74290.62</v>
      </c>
      <c r="AJ289" s="10">
        <f t="shared" si="208"/>
        <v>74290.62</v>
      </c>
      <c r="AK289" s="10">
        <f t="shared" si="208"/>
        <v>74290.62</v>
      </c>
      <c r="AL289" s="10">
        <f t="shared" si="208"/>
        <v>74290.62</v>
      </c>
      <c r="AM289" s="10">
        <f>38333.33+35957.3</f>
        <v>74290.63</v>
      </c>
      <c r="AN289" s="10">
        <f t="shared" si="208"/>
        <v>74290.62</v>
      </c>
      <c r="AO289" s="55">
        <f t="shared" si="208"/>
        <v>74290.62</v>
      </c>
      <c r="AP289" s="10">
        <f>SUM(AD289:AO289)</f>
        <v>891191.66999999993</v>
      </c>
      <c r="AR289" s="33"/>
    </row>
    <row r="290" spans="1:44" ht="13.5" thickBot="1" x14ac:dyDescent="0.35">
      <c r="C290" s="11" t="s">
        <v>97</v>
      </c>
      <c r="D290" s="12">
        <f t="shared" ref="D290:O290" si="209">SUM(D287:D289)</f>
        <v>75850.219999999987</v>
      </c>
      <c r="E290" s="12">
        <f t="shared" si="209"/>
        <v>75600.219999999987</v>
      </c>
      <c r="F290" s="12">
        <f t="shared" si="209"/>
        <v>75600.219999999987</v>
      </c>
      <c r="G290" s="12">
        <f t="shared" si="209"/>
        <v>75600.149999999994</v>
      </c>
      <c r="H290" s="12">
        <f t="shared" si="209"/>
        <v>75432.5</v>
      </c>
      <c r="I290" s="12">
        <f t="shared" si="209"/>
        <v>75432.5</v>
      </c>
      <c r="J290" s="12">
        <f t="shared" si="209"/>
        <v>75432.5</v>
      </c>
      <c r="K290" s="12">
        <f t="shared" si="209"/>
        <v>75420.83</v>
      </c>
      <c r="L290" s="12">
        <f t="shared" si="209"/>
        <v>75420.83</v>
      </c>
      <c r="M290" s="12">
        <f t="shared" si="209"/>
        <v>75420.850000000006</v>
      </c>
      <c r="N290" s="12">
        <f t="shared" si="209"/>
        <v>75420.83</v>
      </c>
      <c r="O290" s="12">
        <f t="shared" si="209"/>
        <v>75397.08</v>
      </c>
      <c r="P290" s="12">
        <f>SUM(P287:P289)</f>
        <v>906028.72999999975</v>
      </c>
      <c r="Q290" s="12">
        <f t="shared" ref="Q290:AB290" si="210">SUM(Q287:Q289)</f>
        <v>75647.08</v>
      </c>
      <c r="R290" s="12">
        <f t="shared" si="210"/>
        <v>75397.08</v>
      </c>
      <c r="S290" s="12">
        <f t="shared" si="210"/>
        <v>75397.08</v>
      </c>
      <c r="T290" s="12">
        <f t="shared" si="210"/>
        <v>75397.100000000006</v>
      </c>
      <c r="U290" s="12">
        <f t="shared" si="210"/>
        <v>75142.91</v>
      </c>
      <c r="V290" s="12">
        <f t="shared" si="210"/>
        <v>75142.91</v>
      </c>
      <c r="W290" s="12">
        <f t="shared" si="210"/>
        <v>75142.91</v>
      </c>
      <c r="X290" s="12">
        <f t="shared" si="210"/>
        <v>75130.83</v>
      </c>
      <c r="Y290" s="12">
        <f t="shared" si="210"/>
        <v>75130.83</v>
      </c>
      <c r="Z290" s="12">
        <f t="shared" si="210"/>
        <v>75130.849999999991</v>
      </c>
      <c r="AA290" s="12">
        <f t="shared" si="210"/>
        <v>75130.83</v>
      </c>
      <c r="AB290" s="12">
        <f t="shared" si="210"/>
        <v>75106.66</v>
      </c>
      <c r="AC290" s="12">
        <f>SUM(AC287:AC289)</f>
        <v>902897.07000000018</v>
      </c>
      <c r="AD290" s="12">
        <f>SUM(AD287:AD289)</f>
        <v>75356.66</v>
      </c>
      <c r="AE290" s="12">
        <f>SUM(AE287:AE289)</f>
        <v>75106.66</v>
      </c>
      <c r="AF290" s="12">
        <f t="shared" ref="AF290:AO290" si="211">SUM(AF287:AF289)</f>
        <v>75106.66</v>
      </c>
      <c r="AG290" s="12">
        <f t="shared" si="211"/>
        <v>75106.720000000001</v>
      </c>
      <c r="AH290" s="12">
        <f t="shared" si="211"/>
        <v>75180.62</v>
      </c>
      <c r="AI290" s="12">
        <f t="shared" si="211"/>
        <v>75180.62</v>
      </c>
      <c r="AJ290" s="12">
        <f t="shared" si="211"/>
        <v>75180.62</v>
      </c>
      <c r="AK290" s="12">
        <f t="shared" si="211"/>
        <v>75168.12</v>
      </c>
      <c r="AL290" s="12">
        <f t="shared" si="211"/>
        <v>75168.12</v>
      </c>
      <c r="AM290" s="12">
        <f t="shared" si="211"/>
        <v>75168.13</v>
      </c>
      <c r="AN290" s="12">
        <f t="shared" si="211"/>
        <v>75168.12</v>
      </c>
      <c r="AO290" s="57">
        <f t="shared" si="211"/>
        <v>75143.539999999994</v>
      </c>
      <c r="AP290" s="12">
        <f>SUM(AP287:AP289)</f>
        <v>902034.59</v>
      </c>
    </row>
    <row r="291" spans="1:44" x14ac:dyDescent="0.3">
      <c r="C291" s="13"/>
    </row>
    <row r="292" spans="1:44" ht="15.5" x14ac:dyDescent="0.35">
      <c r="B292" s="24" t="s">
        <v>5</v>
      </c>
      <c r="C292" s="8" t="s">
        <v>98</v>
      </c>
      <c r="E292" s="9"/>
    </row>
    <row r="293" spans="1:44" x14ac:dyDescent="0.3">
      <c r="C293" s="6" t="s">
        <v>7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f>SUM(D293:O293)</f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f>SUM(Q293:AB293)</f>
        <v>0</v>
      </c>
    </row>
    <row r="294" spans="1:44" x14ac:dyDescent="0.3">
      <c r="C294" s="6" t="s">
        <v>8</v>
      </c>
      <c r="D294" s="9">
        <v>250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10">
        <f>SUM(D294:O294)</f>
        <v>250</v>
      </c>
      <c r="Q294" s="9">
        <v>250</v>
      </c>
      <c r="AC294" s="10">
        <f>SUM(Q294:AB294)</f>
        <v>250</v>
      </c>
    </row>
    <row r="295" spans="1:44" ht="13.5" thickBot="1" x14ac:dyDescent="0.35">
      <c r="C295" s="6" t="s">
        <v>9</v>
      </c>
      <c r="D295" s="9">
        <v>55022.92</v>
      </c>
      <c r="E295" s="9">
        <v>55022.92</v>
      </c>
      <c r="F295" s="9">
        <v>55022.92</v>
      </c>
      <c r="G295" s="9">
        <v>55022.92</v>
      </c>
      <c r="H295" s="9">
        <v>55022.92</v>
      </c>
      <c r="I295" s="9">
        <v>55022.92</v>
      </c>
      <c r="J295" s="9">
        <v>55022.92</v>
      </c>
      <c r="K295" s="9">
        <v>55022.92</v>
      </c>
      <c r="L295" s="9">
        <v>55022.92</v>
      </c>
      <c r="M295" s="9">
        <v>55022.92</v>
      </c>
      <c r="N295" s="9">
        <v>55022.92</v>
      </c>
      <c r="O295" s="9">
        <v>55022.92</v>
      </c>
      <c r="P295" s="10">
        <f>SUM(D295:O295)</f>
        <v>660275.04</v>
      </c>
      <c r="Q295" s="9">
        <v>55022.92</v>
      </c>
      <c r="R295" s="9">
        <v>55022.92</v>
      </c>
      <c r="S295" s="9">
        <v>55022.92</v>
      </c>
      <c r="T295" s="9">
        <v>55022.92</v>
      </c>
      <c r="U295" s="9">
        <v>55022.92</v>
      </c>
      <c r="V295" s="9">
        <v>55022.92</v>
      </c>
      <c r="W295" s="9">
        <v>55022.92</v>
      </c>
      <c r="X295" s="9">
        <v>55022.92</v>
      </c>
      <c r="Y295" s="9">
        <v>55022.92</v>
      </c>
      <c r="Z295" s="9">
        <v>55022.92</v>
      </c>
      <c r="AA295" s="9">
        <v>55022.92</v>
      </c>
      <c r="AB295" s="9">
        <v>0</v>
      </c>
      <c r="AC295" s="10">
        <f>SUM(Q295:AB295)</f>
        <v>605252.12</v>
      </c>
    </row>
    <row r="296" spans="1:44" ht="13.5" thickBot="1" x14ac:dyDescent="0.35">
      <c r="C296" s="11" t="s">
        <v>99</v>
      </c>
      <c r="D296" s="12">
        <f t="shared" ref="D296:O296" si="212">SUM(D293:D295)</f>
        <v>55272.92</v>
      </c>
      <c r="E296" s="12">
        <f t="shared" si="212"/>
        <v>55022.92</v>
      </c>
      <c r="F296" s="12">
        <f t="shared" si="212"/>
        <v>55022.92</v>
      </c>
      <c r="G296" s="12">
        <f t="shared" si="212"/>
        <v>55022.92</v>
      </c>
      <c r="H296" s="12">
        <f t="shared" si="212"/>
        <v>55022.92</v>
      </c>
      <c r="I296" s="12">
        <f t="shared" si="212"/>
        <v>55022.92</v>
      </c>
      <c r="J296" s="12">
        <f t="shared" si="212"/>
        <v>55022.92</v>
      </c>
      <c r="K296" s="12">
        <f t="shared" si="212"/>
        <v>55022.92</v>
      </c>
      <c r="L296" s="12">
        <f t="shared" si="212"/>
        <v>55022.92</v>
      </c>
      <c r="M296" s="12">
        <f t="shared" si="212"/>
        <v>55022.92</v>
      </c>
      <c r="N296" s="12">
        <f t="shared" si="212"/>
        <v>55022.92</v>
      </c>
      <c r="O296" s="12">
        <f t="shared" si="212"/>
        <v>55022.92</v>
      </c>
      <c r="P296" s="12">
        <f>SUM(P293:P295)</f>
        <v>660525.04</v>
      </c>
      <c r="Q296" s="12">
        <f t="shared" ref="Q296:AB296" si="213">SUM(Q293:Q295)</f>
        <v>55272.92</v>
      </c>
      <c r="R296" s="12">
        <f t="shared" si="213"/>
        <v>55022.92</v>
      </c>
      <c r="S296" s="12">
        <f t="shared" si="213"/>
        <v>55022.92</v>
      </c>
      <c r="T296" s="12">
        <f t="shared" si="213"/>
        <v>55022.92</v>
      </c>
      <c r="U296" s="12">
        <f t="shared" si="213"/>
        <v>55022.92</v>
      </c>
      <c r="V296" s="12">
        <f t="shared" si="213"/>
        <v>55022.92</v>
      </c>
      <c r="W296" s="12">
        <f t="shared" si="213"/>
        <v>55022.92</v>
      </c>
      <c r="X296" s="12">
        <f t="shared" si="213"/>
        <v>55022.92</v>
      </c>
      <c r="Y296" s="12">
        <f t="shared" si="213"/>
        <v>55022.92</v>
      </c>
      <c r="Z296" s="12">
        <f t="shared" si="213"/>
        <v>55022.92</v>
      </c>
      <c r="AA296" s="12">
        <f t="shared" si="213"/>
        <v>55022.92</v>
      </c>
      <c r="AB296" s="12">
        <f t="shared" si="213"/>
        <v>0</v>
      </c>
      <c r="AC296" s="12">
        <f>SUM(AC293:AC295)</f>
        <v>605502.12</v>
      </c>
    </row>
    <row r="297" spans="1:44" x14ac:dyDescent="0.3">
      <c r="C297" s="13"/>
    </row>
    <row r="298" spans="1:44" ht="15.5" x14ac:dyDescent="0.35">
      <c r="B298" s="24" t="s">
        <v>5</v>
      </c>
      <c r="C298" s="8" t="s">
        <v>100</v>
      </c>
    </row>
    <row r="299" spans="1:44" x14ac:dyDescent="0.3">
      <c r="C299" s="6" t="s">
        <v>7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f>SUM(D299:O299)</f>
        <v>0</v>
      </c>
    </row>
    <row r="300" spans="1:44" x14ac:dyDescent="0.3">
      <c r="C300" s="6" t="s">
        <v>8</v>
      </c>
      <c r="D300" s="9">
        <v>250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10">
        <f>SUM(D300:O300)</f>
        <v>250</v>
      </c>
    </row>
    <row r="301" spans="1:44" ht="13.5" thickBot="1" x14ac:dyDescent="0.35">
      <c r="C301" s="6" t="s">
        <v>9</v>
      </c>
      <c r="D301" s="9">
        <f>14100.66+15444.12</f>
        <v>29544.78</v>
      </c>
      <c r="E301" s="9">
        <f>14100.66+15401.87</f>
        <v>29502.53</v>
      </c>
      <c r="F301" s="9">
        <f>14100.66+14864.14</f>
        <v>28964.799999999999</v>
      </c>
      <c r="G301" s="9">
        <f>14100.66+15317.36</f>
        <v>29418.02</v>
      </c>
      <c r="H301" s="9">
        <f>14100.66+14782.36</f>
        <v>28883.02</v>
      </c>
      <c r="I301" s="9">
        <f>14100.66+15232.85</f>
        <v>29333.510000000002</v>
      </c>
      <c r="J301" s="9">
        <f>14100.66+15190.59</f>
        <v>29291.25</v>
      </c>
      <c r="K301" s="9">
        <f>14100.66+13682.37</f>
        <v>27783.03</v>
      </c>
      <c r="L301" s="9">
        <f>14100.66+15106.08</f>
        <v>29206.739999999998</v>
      </c>
      <c r="M301" s="9">
        <f>14100.66+14577.9</f>
        <v>28678.559999999998</v>
      </c>
      <c r="N301" s="9">
        <f>14100.72+15021.57</f>
        <v>29122.29</v>
      </c>
      <c r="O301" s="9">
        <f>14606.34+14496.11</f>
        <v>29102.45</v>
      </c>
      <c r="P301" s="10">
        <f>SUM(D301:O301)</f>
        <v>348830.98</v>
      </c>
    </row>
    <row r="302" spans="1:44" ht="13.5" thickBot="1" x14ac:dyDescent="0.35">
      <c r="C302" s="11" t="s">
        <v>101</v>
      </c>
      <c r="D302" s="12">
        <f t="shared" ref="D302:O302" si="214">SUM(D299:D301)</f>
        <v>29794.78</v>
      </c>
      <c r="E302" s="12">
        <f t="shared" si="214"/>
        <v>29502.53</v>
      </c>
      <c r="F302" s="12">
        <f t="shared" si="214"/>
        <v>28964.799999999999</v>
      </c>
      <c r="G302" s="12">
        <f t="shared" si="214"/>
        <v>29418.02</v>
      </c>
      <c r="H302" s="12">
        <f t="shared" si="214"/>
        <v>28883.02</v>
      </c>
      <c r="I302" s="12">
        <f t="shared" si="214"/>
        <v>29333.510000000002</v>
      </c>
      <c r="J302" s="12">
        <f t="shared" si="214"/>
        <v>29291.25</v>
      </c>
      <c r="K302" s="12">
        <f t="shared" si="214"/>
        <v>27783.03</v>
      </c>
      <c r="L302" s="12">
        <f t="shared" si="214"/>
        <v>29206.739999999998</v>
      </c>
      <c r="M302" s="12">
        <f t="shared" si="214"/>
        <v>28678.559999999998</v>
      </c>
      <c r="N302" s="12">
        <f t="shared" si="214"/>
        <v>29122.29</v>
      </c>
      <c r="O302" s="12">
        <f t="shared" si="214"/>
        <v>29102.45</v>
      </c>
      <c r="P302" s="12">
        <f>SUM(P299:P301)</f>
        <v>349080.98</v>
      </c>
    </row>
    <row r="303" spans="1:44" x14ac:dyDescent="0.3">
      <c r="C303" s="13"/>
    </row>
    <row r="304" spans="1:44" ht="15.5" x14ac:dyDescent="0.35">
      <c r="A304" s="1">
        <f>A286+1</f>
        <v>38</v>
      </c>
      <c r="B304" s="21"/>
      <c r="C304" s="22" t="s">
        <v>102</v>
      </c>
    </row>
    <row r="305" spans="1:44" x14ac:dyDescent="0.3">
      <c r="C305" s="6" t="s">
        <v>7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f>SUM(D305:O305)</f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0">
        <f>SUM(Q305:AB305)</f>
        <v>0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55">
        <v>0</v>
      </c>
      <c r="AP305" s="10">
        <f>SUM(AD305:AO305)</f>
        <v>0</v>
      </c>
    </row>
    <row r="306" spans="1:44" x14ac:dyDescent="0.3">
      <c r="C306" s="6" t="s">
        <v>8</v>
      </c>
      <c r="D306" s="9">
        <v>250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10">
        <f>SUM(D306:O306)</f>
        <v>250</v>
      </c>
      <c r="Q306" s="9">
        <v>250</v>
      </c>
      <c r="AC306" s="10">
        <f>SUM(Q306:AB306)</f>
        <v>250</v>
      </c>
      <c r="AD306" s="9">
        <v>250</v>
      </c>
      <c r="AE306" s="9"/>
      <c r="AF306" s="9"/>
      <c r="AG306" s="9"/>
      <c r="AH306" s="9"/>
      <c r="AI306" s="9"/>
      <c r="AJ306" s="9"/>
      <c r="AK306" s="9"/>
      <c r="AL306" s="9"/>
      <c r="AM306" s="9"/>
      <c r="AN306" s="23"/>
      <c r="AO306" s="56"/>
      <c r="AP306" s="10">
        <f>SUM(AD306:AO306)</f>
        <v>250</v>
      </c>
    </row>
    <row r="307" spans="1:44" ht="13.5" thickBot="1" x14ac:dyDescent="0.35">
      <c r="C307" s="6" t="s">
        <v>9</v>
      </c>
      <c r="D307" s="9">
        <v>42453.120000000003</v>
      </c>
      <c r="E307" s="9">
        <v>42453.120000000003</v>
      </c>
      <c r="F307" s="9">
        <v>42453.120000000003</v>
      </c>
      <c r="G307" s="9">
        <v>42453.120000000003</v>
      </c>
      <c r="H307" s="9">
        <v>42453.120000000003</v>
      </c>
      <c r="I307" s="9">
        <v>42453.15</v>
      </c>
      <c r="J307" s="9">
        <v>42453.120000000003</v>
      </c>
      <c r="K307" s="9">
        <v>42453.120000000003</v>
      </c>
      <c r="L307" s="9">
        <v>42453.120000000003</v>
      </c>
      <c r="M307" s="9">
        <v>42453.120000000003</v>
      </c>
      <c r="N307" s="9">
        <v>42453.120000000003</v>
      </c>
      <c r="O307" s="9">
        <v>42453.15</v>
      </c>
      <c r="P307" s="10">
        <f>SUM(D307:O307)</f>
        <v>509437.5</v>
      </c>
      <c r="Q307" s="9">
        <v>42232.28</v>
      </c>
      <c r="R307" s="9">
        <v>42232.28</v>
      </c>
      <c r="S307" s="9">
        <v>42232.28</v>
      </c>
      <c r="T307" s="9">
        <v>42232.28</v>
      </c>
      <c r="U307" s="9">
        <v>42232.28</v>
      </c>
      <c r="V307" s="9">
        <v>42232.31</v>
      </c>
      <c r="W307" s="9">
        <v>42232.28</v>
      </c>
      <c r="X307" s="9">
        <v>42232.28</v>
      </c>
      <c r="Y307" s="9">
        <v>42232.28</v>
      </c>
      <c r="Z307" s="9">
        <v>42232.28</v>
      </c>
      <c r="AA307" s="9">
        <v>42232.28</v>
      </c>
      <c r="AB307" s="9">
        <v>42232.39</v>
      </c>
      <c r="AC307" s="10">
        <f>SUM(Q307:AB307)</f>
        <v>506787.50000000012</v>
      </c>
      <c r="AD307" s="10">
        <v>42561.45</v>
      </c>
      <c r="AE307" s="10">
        <v>42561.45</v>
      </c>
      <c r="AF307" s="10">
        <v>42561.45</v>
      </c>
      <c r="AG307" s="10">
        <v>42561.45</v>
      </c>
      <c r="AH307" s="10">
        <v>42561.45</v>
      </c>
      <c r="AI307" s="10">
        <v>42561.5</v>
      </c>
      <c r="AJ307" s="10">
        <v>42561.45</v>
      </c>
      <c r="AK307" s="10">
        <v>42561.45</v>
      </c>
      <c r="AL307" s="10">
        <v>42561.45</v>
      </c>
      <c r="AM307" s="10">
        <v>42561.45</v>
      </c>
      <c r="AN307" s="10">
        <v>42561.45</v>
      </c>
      <c r="AO307" s="55">
        <v>42561.5</v>
      </c>
      <c r="AP307" s="10">
        <f>SUM(AD307:AO307)</f>
        <v>510737.50000000006</v>
      </c>
      <c r="AR307" s="33"/>
    </row>
    <row r="308" spans="1:44" ht="13.5" thickBot="1" x14ac:dyDescent="0.35">
      <c r="C308" s="11" t="s">
        <v>103</v>
      </c>
      <c r="D308" s="12">
        <f t="shared" ref="D308:O308" si="215">SUM(D305:D307)</f>
        <v>42703.12</v>
      </c>
      <c r="E308" s="12">
        <f t="shared" si="215"/>
        <v>42453.120000000003</v>
      </c>
      <c r="F308" s="12">
        <f t="shared" si="215"/>
        <v>42453.120000000003</v>
      </c>
      <c r="G308" s="12">
        <f t="shared" si="215"/>
        <v>42453.120000000003</v>
      </c>
      <c r="H308" s="12">
        <f t="shared" si="215"/>
        <v>42453.120000000003</v>
      </c>
      <c r="I308" s="12">
        <f t="shared" si="215"/>
        <v>42453.15</v>
      </c>
      <c r="J308" s="12">
        <f t="shared" si="215"/>
        <v>42453.120000000003</v>
      </c>
      <c r="K308" s="12">
        <f t="shared" si="215"/>
        <v>42453.120000000003</v>
      </c>
      <c r="L308" s="12">
        <f t="shared" si="215"/>
        <v>42453.120000000003</v>
      </c>
      <c r="M308" s="12">
        <f t="shared" si="215"/>
        <v>42453.120000000003</v>
      </c>
      <c r="N308" s="12">
        <f t="shared" si="215"/>
        <v>42453.120000000003</v>
      </c>
      <c r="O308" s="12">
        <f t="shared" si="215"/>
        <v>42453.15</v>
      </c>
      <c r="P308" s="12">
        <f>SUM(P305:P307)</f>
        <v>509687.5</v>
      </c>
      <c r="Q308" s="12">
        <f t="shared" ref="Q308:AB308" si="216">SUM(Q305:Q307)</f>
        <v>42482.28</v>
      </c>
      <c r="R308" s="12">
        <f t="shared" si="216"/>
        <v>42232.28</v>
      </c>
      <c r="S308" s="12">
        <f t="shared" si="216"/>
        <v>42232.28</v>
      </c>
      <c r="T308" s="12">
        <f t="shared" si="216"/>
        <v>42232.28</v>
      </c>
      <c r="U308" s="12">
        <f t="shared" si="216"/>
        <v>42232.28</v>
      </c>
      <c r="V308" s="12">
        <f t="shared" si="216"/>
        <v>42232.31</v>
      </c>
      <c r="W308" s="12">
        <f t="shared" si="216"/>
        <v>42232.28</v>
      </c>
      <c r="X308" s="12">
        <f t="shared" si="216"/>
        <v>42232.28</v>
      </c>
      <c r="Y308" s="12">
        <f t="shared" si="216"/>
        <v>42232.28</v>
      </c>
      <c r="Z308" s="12">
        <f t="shared" si="216"/>
        <v>42232.28</v>
      </c>
      <c r="AA308" s="12">
        <f t="shared" si="216"/>
        <v>42232.28</v>
      </c>
      <c r="AB308" s="12">
        <f t="shared" si="216"/>
        <v>42232.39</v>
      </c>
      <c r="AC308" s="12">
        <f>SUM(AC305:AC307)</f>
        <v>507037.50000000012</v>
      </c>
      <c r="AD308" s="12">
        <f>SUM(AD305:AD307)</f>
        <v>42811.45</v>
      </c>
      <c r="AE308" s="12">
        <f>SUM(AE305:AE307)</f>
        <v>42561.45</v>
      </c>
      <c r="AF308" s="12">
        <f t="shared" ref="AF308:AO308" si="217">SUM(AF305:AF307)</f>
        <v>42561.45</v>
      </c>
      <c r="AG308" s="12">
        <f t="shared" si="217"/>
        <v>42561.45</v>
      </c>
      <c r="AH308" s="12">
        <f t="shared" si="217"/>
        <v>42561.45</v>
      </c>
      <c r="AI308" s="12">
        <f t="shared" si="217"/>
        <v>42561.5</v>
      </c>
      <c r="AJ308" s="12">
        <f t="shared" si="217"/>
        <v>42561.45</v>
      </c>
      <c r="AK308" s="12">
        <f t="shared" si="217"/>
        <v>42561.45</v>
      </c>
      <c r="AL308" s="12">
        <f t="shared" si="217"/>
        <v>42561.45</v>
      </c>
      <c r="AM308" s="12">
        <f t="shared" si="217"/>
        <v>42561.45</v>
      </c>
      <c r="AN308" s="12">
        <f t="shared" si="217"/>
        <v>42561.45</v>
      </c>
      <c r="AO308" s="57">
        <f t="shared" si="217"/>
        <v>42561.5</v>
      </c>
      <c r="AP308" s="12">
        <f>SUM(AP305:AP307)</f>
        <v>510987.50000000006</v>
      </c>
    </row>
    <row r="309" spans="1:44" x14ac:dyDescent="0.3">
      <c r="C309" s="13"/>
    </row>
    <row r="310" spans="1:44" ht="15.5" x14ac:dyDescent="0.35">
      <c r="A310" s="1">
        <f>A304+1</f>
        <v>39</v>
      </c>
      <c r="B310" s="21"/>
      <c r="C310" s="22" t="s">
        <v>104</v>
      </c>
    </row>
    <row r="311" spans="1:44" x14ac:dyDescent="0.3">
      <c r="C311" s="6" t="s">
        <v>7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f>SUM(D311:O311)</f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f>SUM(Q311:AB311)</f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0</v>
      </c>
      <c r="AI311" s="10">
        <v>0</v>
      </c>
      <c r="AJ311" s="10">
        <v>0</v>
      </c>
      <c r="AK311" s="10">
        <v>0</v>
      </c>
      <c r="AL311" s="10">
        <v>0</v>
      </c>
      <c r="AM311" s="10">
        <v>0</v>
      </c>
      <c r="AN311" s="10">
        <v>0</v>
      </c>
      <c r="AO311" s="55">
        <v>0</v>
      </c>
      <c r="AP311" s="10">
        <f>SUM(AD311:AO311)</f>
        <v>0</v>
      </c>
    </row>
    <row r="312" spans="1:44" x14ac:dyDescent="0.3">
      <c r="C312" s="6" t="s">
        <v>8</v>
      </c>
      <c r="D312" s="9">
        <v>250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10">
        <f>SUM(D312:O312)</f>
        <v>250</v>
      </c>
      <c r="Q312" s="9">
        <v>250</v>
      </c>
      <c r="AC312" s="10">
        <f>SUM(Q312:AB312)</f>
        <v>250</v>
      </c>
      <c r="AD312" s="9">
        <v>250</v>
      </c>
      <c r="AE312" s="9"/>
      <c r="AF312" s="9"/>
      <c r="AG312" s="9"/>
      <c r="AH312" s="9"/>
      <c r="AI312" s="9"/>
      <c r="AJ312" s="9"/>
      <c r="AK312" s="9"/>
      <c r="AL312" s="9"/>
      <c r="AM312" s="9"/>
      <c r="AN312" s="23"/>
      <c r="AO312" s="56"/>
      <c r="AP312" s="10">
        <f>SUM(AD312:AO312)</f>
        <v>250</v>
      </c>
    </row>
    <row r="313" spans="1:44" ht="13.5" thickBot="1" x14ac:dyDescent="0.35">
      <c r="C313" s="6" t="s">
        <v>9</v>
      </c>
      <c r="D313" s="10">
        <f>25000+104765.11</f>
        <v>129765.11</v>
      </c>
      <c r="E313" s="10">
        <f>25000+104765.11</f>
        <v>129765.11</v>
      </c>
      <c r="F313" s="10">
        <f>25000+104765.11</f>
        <v>129765.11</v>
      </c>
      <c r="G313" s="9">
        <f>26250+103608.86</f>
        <v>129858.86</v>
      </c>
      <c r="H313" s="9">
        <f>26250+103608.86</f>
        <v>129858.86</v>
      </c>
      <c r="I313" s="9">
        <f t="shared" ref="I313:S313" si="218">26250+103608.86</f>
        <v>129858.86</v>
      </c>
      <c r="J313" s="9">
        <f t="shared" si="218"/>
        <v>129858.86</v>
      </c>
      <c r="K313" s="9">
        <f t="shared" si="218"/>
        <v>129858.86</v>
      </c>
      <c r="L313" s="9">
        <f t="shared" si="218"/>
        <v>129858.86</v>
      </c>
      <c r="M313" s="9">
        <f t="shared" si="218"/>
        <v>129858.86</v>
      </c>
      <c r="N313" s="9">
        <f t="shared" si="218"/>
        <v>129858.86</v>
      </c>
      <c r="O313" s="9">
        <f t="shared" si="218"/>
        <v>129858.86</v>
      </c>
      <c r="P313" s="10">
        <f>SUM(D313:O313)</f>
        <v>1558025.0700000003</v>
      </c>
      <c r="Q313" s="9">
        <f t="shared" si="218"/>
        <v>129858.86</v>
      </c>
      <c r="R313" s="9">
        <f t="shared" si="218"/>
        <v>129858.86</v>
      </c>
      <c r="S313" s="9">
        <f t="shared" si="218"/>
        <v>129858.86</v>
      </c>
      <c r="T313" s="9">
        <f>27083.33+102394.79</f>
        <v>129478.12</v>
      </c>
      <c r="U313" s="9">
        <f t="shared" ref="U313:AF313" si="219">27083.33+102394.79</f>
        <v>129478.12</v>
      </c>
      <c r="V313" s="9">
        <f t="shared" si="219"/>
        <v>129478.12</v>
      </c>
      <c r="W313" s="9">
        <f t="shared" si="219"/>
        <v>129478.12</v>
      </c>
      <c r="X313" s="9">
        <f t="shared" si="219"/>
        <v>129478.12</v>
      </c>
      <c r="Y313" s="9">
        <f t="shared" si="219"/>
        <v>129478.12</v>
      </c>
      <c r="Z313" s="9">
        <f t="shared" si="219"/>
        <v>129478.12</v>
      </c>
      <c r="AA313" s="9">
        <f t="shared" si="219"/>
        <v>129478.12</v>
      </c>
      <c r="AB313" s="9">
        <f t="shared" si="219"/>
        <v>129478.12</v>
      </c>
      <c r="AC313" s="10">
        <f>SUM(Q313:AB313)</f>
        <v>1554879.6600000001</v>
      </c>
      <c r="AD313" s="9">
        <f t="shared" si="219"/>
        <v>129478.12</v>
      </c>
      <c r="AE313" s="9">
        <f t="shared" si="219"/>
        <v>129478.12</v>
      </c>
      <c r="AF313" s="9">
        <f t="shared" si="219"/>
        <v>129478.12</v>
      </c>
      <c r="AG313" s="10">
        <f>28750+101142.19</f>
        <v>129892.19</v>
      </c>
      <c r="AH313" s="10">
        <f t="shared" ref="AH313:AO313" si="220">28750+101142.19</f>
        <v>129892.19</v>
      </c>
      <c r="AI313" s="10">
        <f t="shared" si="220"/>
        <v>129892.19</v>
      </c>
      <c r="AJ313" s="10">
        <f t="shared" si="220"/>
        <v>129892.19</v>
      </c>
      <c r="AK313" s="10">
        <f t="shared" si="220"/>
        <v>129892.19</v>
      </c>
      <c r="AL313" s="10">
        <f t="shared" si="220"/>
        <v>129892.19</v>
      </c>
      <c r="AM313" s="10">
        <f t="shared" si="220"/>
        <v>129892.19</v>
      </c>
      <c r="AN313" s="10">
        <f t="shared" si="220"/>
        <v>129892.19</v>
      </c>
      <c r="AO313" s="55">
        <f t="shared" si="220"/>
        <v>129892.19</v>
      </c>
      <c r="AP313" s="10">
        <f>SUM(AD313:AO313)</f>
        <v>1557464.0699999996</v>
      </c>
      <c r="AR313" s="33"/>
    </row>
    <row r="314" spans="1:44" ht="13.5" thickBot="1" x14ac:dyDescent="0.35">
      <c r="C314" s="11" t="s">
        <v>105</v>
      </c>
      <c r="D314" s="12">
        <f t="shared" ref="D314:O314" si="221">SUM(D311:D313)</f>
        <v>130015.11</v>
      </c>
      <c r="E314" s="12">
        <f t="shared" si="221"/>
        <v>129765.11</v>
      </c>
      <c r="F314" s="12">
        <f t="shared" si="221"/>
        <v>129765.11</v>
      </c>
      <c r="G314" s="12">
        <f t="shared" si="221"/>
        <v>129858.86</v>
      </c>
      <c r="H314" s="12">
        <f t="shared" si="221"/>
        <v>129858.86</v>
      </c>
      <c r="I314" s="12">
        <f t="shared" si="221"/>
        <v>129858.86</v>
      </c>
      <c r="J314" s="12">
        <f t="shared" si="221"/>
        <v>129858.86</v>
      </c>
      <c r="K314" s="12">
        <f t="shared" si="221"/>
        <v>129858.86</v>
      </c>
      <c r="L314" s="12">
        <f t="shared" si="221"/>
        <v>129858.86</v>
      </c>
      <c r="M314" s="12">
        <f t="shared" si="221"/>
        <v>129858.86</v>
      </c>
      <c r="N314" s="12">
        <f t="shared" si="221"/>
        <v>129858.86</v>
      </c>
      <c r="O314" s="12">
        <f t="shared" si="221"/>
        <v>129858.86</v>
      </c>
      <c r="P314" s="12">
        <f>SUM(P311:P313)</f>
        <v>1558275.0700000003</v>
      </c>
      <c r="Q314" s="12">
        <f t="shared" ref="Q314:AB314" si="222">SUM(Q311:Q313)</f>
        <v>130108.86</v>
      </c>
      <c r="R314" s="12">
        <f t="shared" si="222"/>
        <v>129858.86</v>
      </c>
      <c r="S314" s="12">
        <f t="shared" si="222"/>
        <v>129858.86</v>
      </c>
      <c r="T314" s="12">
        <f t="shared" si="222"/>
        <v>129478.12</v>
      </c>
      <c r="U314" s="12">
        <f t="shared" si="222"/>
        <v>129478.12</v>
      </c>
      <c r="V314" s="12">
        <f t="shared" si="222"/>
        <v>129478.12</v>
      </c>
      <c r="W314" s="12">
        <f t="shared" si="222"/>
        <v>129478.12</v>
      </c>
      <c r="X314" s="12">
        <f t="shared" si="222"/>
        <v>129478.12</v>
      </c>
      <c r="Y314" s="12">
        <f t="shared" si="222"/>
        <v>129478.12</v>
      </c>
      <c r="Z314" s="12">
        <f t="shared" si="222"/>
        <v>129478.12</v>
      </c>
      <c r="AA314" s="12">
        <f t="shared" si="222"/>
        <v>129478.12</v>
      </c>
      <c r="AB314" s="12">
        <f t="shared" si="222"/>
        <v>129478.12</v>
      </c>
      <c r="AC314" s="12">
        <f>SUM(AC311:AC313)</f>
        <v>1555129.6600000001</v>
      </c>
      <c r="AD314" s="12">
        <f>SUM(AD311:AD313)</f>
        <v>129728.12</v>
      </c>
      <c r="AE314" s="12">
        <f>SUM(AE311:AE313)</f>
        <v>129478.12</v>
      </c>
      <c r="AF314" s="12">
        <f t="shared" ref="AF314:AO314" si="223">SUM(AF311:AF313)</f>
        <v>129478.12</v>
      </c>
      <c r="AG314" s="12">
        <f t="shared" si="223"/>
        <v>129892.19</v>
      </c>
      <c r="AH314" s="12">
        <f t="shared" si="223"/>
        <v>129892.19</v>
      </c>
      <c r="AI314" s="12">
        <f t="shared" si="223"/>
        <v>129892.19</v>
      </c>
      <c r="AJ314" s="12">
        <f t="shared" si="223"/>
        <v>129892.19</v>
      </c>
      <c r="AK314" s="12">
        <f t="shared" si="223"/>
        <v>129892.19</v>
      </c>
      <c r="AL314" s="12">
        <f t="shared" si="223"/>
        <v>129892.19</v>
      </c>
      <c r="AM314" s="12">
        <f t="shared" si="223"/>
        <v>129892.19</v>
      </c>
      <c r="AN314" s="12">
        <f t="shared" si="223"/>
        <v>129892.19</v>
      </c>
      <c r="AO314" s="57">
        <f t="shared" si="223"/>
        <v>129892.19</v>
      </c>
      <c r="AP314" s="12">
        <f>SUM(AP311:AP313)</f>
        <v>1557714.0699999996</v>
      </c>
    </row>
    <row r="315" spans="1:44" x14ac:dyDescent="0.3">
      <c r="C315" s="13"/>
    </row>
    <row r="316" spans="1:44" ht="15.5" x14ac:dyDescent="0.35">
      <c r="B316" s="24" t="s">
        <v>5</v>
      </c>
      <c r="C316" s="8" t="s">
        <v>106</v>
      </c>
    </row>
    <row r="317" spans="1:44" x14ac:dyDescent="0.3">
      <c r="C317" s="6" t="s">
        <v>7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f>SUM(D317:O317)</f>
        <v>0</v>
      </c>
      <c r="Q317" s="10">
        <v>0</v>
      </c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>
        <f>SUM(Q317:AB317)</f>
        <v>0</v>
      </c>
    </row>
    <row r="318" spans="1:44" x14ac:dyDescent="0.3">
      <c r="C318" s="6" t="s">
        <v>8</v>
      </c>
      <c r="D318" s="9">
        <v>250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10">
        <f>SUM(D318:O318)</f>
        <v>250</v>
      </c>
      <c r="Q318" s="9">
        <v>250</v>
      </c>
      <c r="AC318" s="10">
        <f>SUM(Q318:AB318)</f>
        <v>250</v>
      </c>
    </row>
    <row r="319" spans="1:44" ht="13.5" thickBot="1" x14ac:dyDescent="0.35">
      <c r="C319" s="6" t="s">
        <v>9</v>
      </c>
      <c r="D319" s="9">
        <v>19770.04</v>
      </c>
      <c r="E319" s="9">
        <v>19770.04</v>
      </c>
      <c r="F319" s="9">
        <v>19770.04</v>
      </c>
      <c r="G319" s="9">
        <v>19770.04</v>
      </c>
      <c r="H319" s="9">
        <v>19770.04</v>
      </c>
      <c r="I319" s="9">
        <v>19770.04</v>
      </c>
      <c r="J319" s="9">
        <v>19770.04</v>
      </c>
      <c r="K319" s="9">
        <v>19770.04</v>
      </c>
      <c r="L319" s="9">
        <v>19770.04</v>
      </c>
      <c r="M319" s="9">
        <v>19770.04</v>
      </c>
      <c r="N319" s="9">
        <v>19770.04</v>
      </c>
      <c r="O319" s="9">
        <v>19770.04</v>
      </c>
      <c r="P319" s="10">
        <f>SUM(D319:O319)</f>
        <v>237240.48000000007</v>
      </c>
      <c r="Q319" s="9">
        <v>19770.04</v>
      </c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10">
        <f>SUM(Q319:AB319)</f>
        <v>19770.04</v>
      </c>
    </row>
    <row r="320" spans="1:44" ht="13.5" thickBot="1" x14ac:dyDescent="0.35">
      <c r="C320" s="11" t="s">
        <v>107</v>
      </c>
      <c r="D320" s="12">
        <f t="shared" ref="D320:O320" si="224">SUM(D317:D319)</f>
        <v>20020.04</v>
      </c>
      <c r="E320" s="12">
        <f t="shared" si="224"/>
        <v>19770.04</v>
      </c>
      <c r="F320" s="12">
        <f t="shared" si="224"/>
        <v>19770.04</v>
      </c>
      <c r="G320" s="12">
        <f t="shared" si="224"/>
        <v>19770.04</v>
      </c>
      <c r="H320" s="12">
        <f t="shared" si="224"/>
        <v>19770.04</v>
      </c>
      <c r="I320" s="12">
        <f t="shared" si="224"/>
        <v>19770.04</v>
      </c>
      <c r="J320" s="12">
        <f t="shared" si="224"/>
        <v>19770.04</v>
      </c>
      <c r="K320" s="12">
        <f t="shared" si="224"/>
        <v>19770.04</v>
      </c>
      <c r="L320" s="12">
        <f t="shared" si="224"/>
        <v>19770.04</v>
      </c>
      <c r="M320" s="12">
        <f t="shared" si="224"/>
        <v>19770.04</v>
      </c>
      <c r="N320" s="12">
        <f t="shared" si="224"/>
        <v>19770.04</v>
      </c>
      <c r="O320" s="12">
        <f t="shared" si="224"/>
        <v>19770.04</v>
      </c>
      <c r="P320" s="12">
        <f>SUM(P317:P319)</f>
        <v>237490.48000000007</v>
      </c>
      <c r="Q320" s="12">
        <f t="shared" ref="Q320:AB320" si="225">SUM(Q317:Q319)</f>
        <v>20020.04</v>
      </c>
      <c r="R320" s="12">
        <f t="shared" si="225"/>
        <v>0</v>
      </c>
      <c r="S320" s="12">
        <f t="shared" si="225"/>
        <v>0</v>
      </c>
      <c r="T320" s="12">
        <f t="shared" si="225"/>
        <v>0</v>
      </c>
      <c r="U320" s="12">
        <f t="shared" si="225"/>
        <v>0</v>
      </c>
      <c r="V320" s="12">
        <f t="shared" si="225"/>
        <v>0</v>
      </c>
      <c r="W320" s="12">
        <f t="shared" si="225"/>
        <v>0</v>
      </c>
      <c r="X320" s="12">
        <f t="shared" si="225"/>
        <v>0</v>
      </c>
      <c r="Y320" s="12">
        <f t="shared" si="225"/>
        <v>0</v>
      </c>
      <c r="Z320" s="12">
        <f t="shared" si="225"/>
        <v>0</v>
      </c>
      <c r="AA320" s="12">
        <f t="shared" si="225"/>
        <v>0</v>
      </c>
      <c r="AB320" s="12">
        <f t="shared" si="225"/>
        <v>0</v>
      </c>
      <c r="AC320" s="12">
        <f>SUM(AC317:AC319)</f>
        <v>20020.04</v>
      </c>
    </row>
    <row r="321" spans="1:44" x14ac:dyDescent="0.3">
      <c r="C321" s="13"/>
    </row>
    <row r="322" spans="1:44" ht="15.5" x14ac:dyDescent="0.35">
      <c r="A322" s="1">
        <f>A310+1</f>
        <v>40</v>
      </c>
      <c r="B322" s="21"/>
      <c r="C322" s="22" t="s">
        <v>108</v>
      </c>
    </row>
    <row r="323" spans="1:44" x14ac:dyDescent="0.3">
      <c r="C323" s="6" t="s">
        <v>7</v>
      </c>
      <c r="D323" s="10">
        <v>1508.75</v>
      </c>
      <c r="E323" s="10">
        <v>1508.75</v>
      </c>
      <c r="F323" s="10">
        <v>1508.75</v>
      </c>
      <c r="G323" s="10">
        <v>1508.75</v>
      </c>
      <c r="H323" s="10">
        <v>1508.75</v>
      </c>
      <c r="I323" s="10">
        <v>1508.75</v>
      </c>
      <c r="J323" s="10">
        <v>1508.75</v>
      </c>
      <c r="K323" s="10">
        <v>1508.75</v>
      </c>
      <c r="L323" s="9">
        <v>1487.5</v>
      </c>
      <c r="M323" s="9">
        <v>1487.5</v>
      </c>
      <c r="N323" s="9">
        <v>1487.5</v>
      </c>
      <c r="O323" s="9">
        <v>1487.5</v>
      </c>
      <c r="P323" s="10">
        <f>SUM(D323:O323)</f>
        <v>18020</v>
      </c>
      <c r="Q323" s="9">
        <v>1487.5</v>
      </c>
      <c r="R323" s="9">
        <v>1487.5</v>
      </c>
      <c r="S323" s="9">
        <v>1487.5</v>
      </c>
      <c r="T323" s="9">
        <v>1487.5</v>
      </c>
      <c r="U323" s="9">
        <v>1487.5</v>
      </c>
      <c r="V323" s="9">
        <v>1487.5</v>
      </c>
      <c r="W323" s="9">
        <v>1487.5</v>
      </c>
      <c r="X323" s="9">
        <v>1487.5</v>
      </c>
      <c r="Y323" s="9">
        <v>1465.42</v>
      </c>
      <c r="Z323" s="9">
        <v>1465.42</v>
      </c>
      <c r="AA323" s="9">
        <v>1465.42</v>
      </c>
      <c r="AB323" s="9">
        <v>1465.42</v>
      </c>
      <c r="AC323" s="10">
        <f>SUM(Q323:AB323)</f>
        <v>17761.68</v>
      </c>
      <c r="AD323" s="9">
        <v>1465.42</v>
      </c>
      <c r="AE323" s="9">
        <v>1465.42</v>
      </c>
      <c r="AF323" s="9">
        <v>1465.42</v>
      </c>
      <c r="AG323" s="9">
        <v>1465.42</v>
      </c>
      <c r="AH323" s="9">
        <v>1465.42</v>
      </c>
      <c r="AI323" s="9">
        <v>1465.42</v>
      </c>
      <c r="AJ323" s="9">
        <v>1465.42</v>
      </c>
      <c r="AK323" s="9">
        <v>1465.42</v>
      </c>
      <c r="AL323" s="10">
        <v>1442.5</v>
      </c>
      <c r="AM323" s="10">
        <v>1442.5</v>
      </c>
      <c r="AN323" s="10">
        <v>1442.5</v>
      </c>
      <c r="AO323" s="55">
        <v>1442.5</v>
      </c>
      <c r="AP323" s="10">
        <f>SUM(AD323:AO323)</f>
        <v>17493.36</v>
      </c>
    </row>
    <row r="324" spans="1:44" x14ac:dyDescent="0.3">
      <c r="C324" s="6" t="s">
        <v>8</v>
      </c>
      <c r="D324" s="9">
        <v>250</v>
      </c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10">
        <f>SUM(D324:O324)</f>
        <v>250</v>
      </c>
      <c r="Q324" s="9">
        <v>250</v>
      </c>
      <c r="AC324" s="10">
        <f>SUM(Q324:AB324)</f>
        <v>250</v>
      </c>
      <c r="AD324" s="9">
        <v>250</v>
      </c>
      <c r="AE324" s="9"/>
      <c r="AF324" s="9"/>
      <c r="AG324" s="9"/>
      <c r="AH324" s="9"/>
      <c r="AI324" s="9"/>
      <c r="AJ324" s="9"/>
      <c r="AK324" s="9"/>
      <c r="AL324" s="9"/>
      <c r="AM324" s="9"/>
      <c r="AN324" s="23"/>
      <c r="AO324" s="56"/>
      <c r="AP324" s="10">
        <f>SUM(AD324:AO324)</f>
        <v>250</v>
      </c>
    </row>
    <row r="325" spans="1:44" ht="13.5" thickBot="1" x14ac:dyDescent="0.35">
      <c r="C325" s="6" t="s">
        <v>9</v>
      </c>
      <c r="D325" s="9">
        <v>95020.83</v>
      </c>
      <c r="E325" s="9">
        <v>95020.83</v>
      </c>
      <c r="F325" s="9">
        <v>95020.83</v>
      </c>
      <c r="G325" s="9">
        <v>95020.83</v>
      </c>
      <c r="H325" s="9">
        <v>95020.83</v>
      </c>
      <c r="I325" s="9">
        <v>95020.83</v>
      </c>
      <c r="J325" s="9">
        <v>95020.83</v>
      </c>
      <c r="K325" s="9">
        <v>95020.83</v>
      </c>
      <c r="L325" s="9">
        <v>95020.83</v>
      </c>
      <c r="M325" s="9">
        <v>95004.160000000003</v>
      </c>
      <c r="N325" s="9">
        <v>95004.160000000003</v>
      </c>
      <c r="O325" s="9">
        <v>95004.160000000003</v>
      </c>
      <c r="P325" s="10">
        <f>SUM(D325:O325)</f>
        <v>1140199.95</v>
      </c>
      <c r="Q325" s="9">
        <f>22083.33+72920.83</f>
        <v>95004.160000000003</v>
      </c>
      <c r="R325" s="9">
        <f t="shared" ref="R325:Y325" si="226">22083.33+72920.83</f>
        <v>95004.160000000003</v>
      </c>
      <c r="S325" s="9">
        <f t="shared" si="226"/>
        <v>95004.160000000003</v>
      </c>
      <c r="T325" s="9">
        <f t="shared" si="226"/>
        <v>95004.160000000003</v>
      </c>
      <c r="U325" s="9">
        <f t="shared" si="226"/>
        <v>95004.160000000003</v>
      </c>
      <c r="V325" s="9">
        <f t="shared" si="226"/>
        <v>95004.160000000003</v>
      </c>
      <c r="W325" s="9">
        <f t="shared" si="226"/>
        <v>95004.160000000003</v>
      </c>
      <c r="X325" s="9">
        <f t="shared" si="226"/>
        <v>95004.160000000003</v>
      </c>
      <c r="Y325" s="9">
        <f t="shared" si="226"/>
        <v>95004.160000000003</v>
      </c>
      <c r="Z325" s="9">
        <f>22916.67+72037.5</f>
        <v>94954.17</v>
      </c>
      <c r="AA325" s="9">
        <f>22916.67+72037.5</f>
        <v>94954.17</v>
      </c>
      <c r="AB325" s="9">
        <f>22916.67+72037.5</f>
        <v>94954.17</v>
      </c>
      <c r="AC325" s="10">
        <f>SUM(Q325:AB325)</f>
        <v>1139899.9500000002</v>
      </c>
      <c r="AD325" s="9">
        <f t="shared" ref="AD325:AL325" si="227">22916.67+72037.5</f>
        <v>94954.17</v>
      </c>
      <c r="AE325" s="9">
        <f t="shared" si="227"/>
        <v>94954.17</v>
      </c>
      <c r="AF325" s="9">
        <f t="shared" si="227"/>
        <v>94954.17</v>
      </c>
      <c r="AG325" s="9">
        <f t="shared" si="227"/>
        <v>94954.17</v>
      </c>
      <c r="AH325" s="9">
        <f t="shared" si="227"/>
        <v>94954.17</v>
      </c>
      <c r="AI325" s="9">
        <f t="shared" si="227"/>
        <v>94954.17</v>
      </c>
      <c r="AJ325" s="9">
        <f t="shared" si="227"/>
        <v>94954.17</v>
      </c>
      <c r="AK325" s="9">
        <f t="shared" si="227"/>
        <v>94954.17</v>
      </c>
      <c r="AL325" s="9">
        <f t="shared" si="227"/>
        <v>94954.17</v>
      </c>
      <c r="AM325" s="10">
        <f>23750+71120.83</f>
        <v>94870.83</v>
      </c>
      <c r="AN325" s="10">
        <f>23750+71120.83</f>
        <v>94870.83</v>
      </c>
      <c r="AO325" s="55">
        <f>23750+71120.83</f>
        <v>94870.83</v>
      </c>
      <c r="AP325" s="10">
        <f>SUM(AD325:AO325)</f>
        <v>1139200.02</v>
      </c>
      <c r="AR325" s="33"/>
    </row>
    <row r="326" spans="1:44" ht="13.5" thickBot="1" x14ac:dyDescent="0.35">
      <c r="C326" s="11" t="s">
        <v>109</v>
      </c>
      <c r="D326" s="12">
        <f t="shared" ref="D326:O326" si="228">SUM(D323:D325)</f>
        <v>96779.58</v>
      </c>
      <c r="E326" s="12">
        <f t="shared" si="228"/>
        <v>96529.58</v>
      </c>
      <c r="F326" s="12">
        <f t="shared" si="228"/>
        <v>96529.58</v>
      </c>
      <c r="G326" s="12">
        <f t="shared" si="228"/>
        <v>96529.58</v>
      </c>
      <c r="H326" s="12">
        <f t="shared" si="228"/>
        <v>96529.58</v>
      </c>
      <c r="I326" s="12">
        <f t="shared" si="228"/>
        <v>96529.58</v>
      </c>
      <c r="J326" s="12">
        <f t="shared" si="228"/>
        <v>96529.58</v>
      </c>
      <c r="K326" s="12">
        <f t="shared" si="228"/>
        <v>96529.58</v>
      </c>
      <c r="L326" s="12">
        <f t="shared" si="228"/>
        <v>96508.33</v>
      </c>
      <c r="M326" s="12">
        <f t="shared" si="228"/>
        <v>96491.66</v>
      </c>
      <c r="N326" s="12">
        <f t="shared" si="228"/>
        <v>96491.66</v>
      </c>
      <c r="O326" s="12">
        <f t="shared" si="228"/>
        <v>96491.66</v>
      </c>
      <c r="P326" s="12">
        <f>SUM(P323:P325)</f>
        <v>1158469.95</v>
      </c>
      <c r="Q326" s="12">
        <f t="shared" ref="Q326:AB326" si="229">SUM(Q323:Q325)</f>
        <v>96741.66</v>
      </c>
      <c r="R326" s="12">
        <f t="shared" si="229"/>
        <v>96491.66</v>
      </c>
      <c r="S326" s="12">
        <f t="shared" si="229"/>
        <v>96491.66</v>
      </c>
      <c r="T326" s="12">
        <f t="shared" si="229"/>
        <v>96491.66</v>
      </c>
      <c r="U326" s="12">
        <f t="shared" si="229"/>
        <v>96491.66</v>
      </c>
      <c r="V326" s="12">
        <f t="shared" si="229"/>
        <v>96491.66</v>
      </c>
      <c r="W326" s="12">
        <f t="shared" si="229"/>
        <v>96491.66</v>
      </c>
      <c r="X326" s="12">
        <f t="shared" si="229"/>
        <v>96491.66</v>
      </c>
      <c r="Y326" s="12">
        <f t="shared" si="229"/>
        <v>96469.58</v>
      </c>
      <c r="Z326" s="12">
        <f t="shared" si="229"/>
        <v>96419.59</v>
      </c>
      <c r="AA326" s="12">
        <f t="shared" si="229"/>
        <v>96419.59</v>
      </c>
      <c r="AB326" s="12">
        <f t="shared" si="229"/>
        <v>96419.59</v>
      </c>
      <c r="AC326" s="12">
        <f>SUM(AC323:AC325)</f>
        <v>1157911.6300000001</v>
      </c>
      <c r="AD326" s="12">
        <f>SUM(AD323:AD325)</f>
        <v>96669.59</v>
      </c>
      <c r="AE326" s="12">
        <f>SUM(AE323:AE325)</f>
        <v>96419.59</v>
      </c>
      <c r="AF326" s="12">
        <f t="shared" ref="AF326:AO326" si="230">SUM(AF323:AF325)</f>
        <v>96419.59</v>
      </c>
      <c r="AG326" s="12">
        <f t="shared" si="230"/>
        <v>96419.59</v>
      </c>
      <c r="AH326" s="12">
        <f t="shared" si="230"/>
        <v>96419.59</v>
      </c>
      <c r="AI326" s="12">
        <f t="shared" si="230"/>
        <v>96419.59</v>
      </c>
      <c r="AJ326" s="12">
        <f t="shared" si="230"/>
        <v>96419.59</v>
      </c>
      <c r="AK326" s="12">
        <f t="shared" si="230"/>
        <v>96419.59</v>
      </c>
      <c r="AL326" s="12">
        <f t="shared" si="230"/>
        <v>96396.67</v>
      </c>
      <c r="AM326" s="12">
        <f t="shared" si="230"/>
        <v>96313.33</v>
      </c>
      <c r="AN326" s="12">
        <f t="shared" si="230"/>
        <v>96313.33</v>
      </c>
      <c r="AO326" s="57">
        <f t="shared" si="230"/>
        <v>96313.33</v>
      </c>
      <c r="AP326" s="12">
        <f>SUM(AP323:AP325)</f>
        <v>1156943.3800000001</v>
      </c>
    </row>
    <row r="327" spans="1:44" x14ac:dyDescent="0.3">
      <c r="C327" s="13"/>
    </row>
    <row r="328" spans="1:44" ht="15.5" x14ac:dyDescent="0.35">
      <c r="A328" s="1">
        <f>A322+1</f>
        <v>41</v>
      </c>
      <c r="B328" s="21"/>
      <c r="C328" s="22" t="s">
        <v>110</v>
      </c>
    </row>
    <row r="329" spans="1:44" x14ac:dyDescent="0.3">
      <c r="C329" s="6" t="s">
        <v>7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f>SUM(D329:O329)</f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0">
        <f>SUM(Q329:AB329)</f>
        <v>0</v>
      </c>
      <c r="AD329" s="10">
        <v>0</v>
      </c>
      <c r="AE329" s="10">
        <v>0</v>
      </c>
      <c r="AF329" s="10">
        <v>0</v>
      </c>
      <c r="AG329" s="10">
        <v>0</v>
      </c>
      <c r="AH329" s="10">
        <v>0</v>
      </c>
      <c r="AI329" s="10">
        <v>0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55">
        <v>0</v>
      </c>
      <c r="AP329" s="10">
        <f>SUM(AD329:AO329)</f>
        <v>0</v>
      </c>
    </row>
    <row r="330" spans="1:44" x14ac:dyDescent="0.3">
      <c r="C330" s="6" t="s">
        <v>8</v>
      </c>
      <c r="D330" s="9">
        <v>250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10">
        <f>SUM(D330:O330)</f>
        <v>250</v>
      </c>
      <c r="Q330" s="9">
        <v>250</v>
      </c>
      <c r="AC330" s="10">
        <f>SUM(Q330:AB330)</f>
        <v>250</v>
      </c>
      <c r="AD330" s="9">
        <v>250</v>
      </c>
      <c r="AE330" s="9"/>
      <c r="AF330" s="9"/>
      <c r="AG330" s="9"/>
      <c r="AH330" s="9"/>
      <c r="AI330" s="9"/>
      <c r="AJ330" s="9"/>
      <c r="AK330" s="9"/>
      <c r="AL330" s="9"/>
      <c r="AM330" s="9"/>
      <c r="AN330" s="23"/>
      <c r="AO330" s="56"/>
      <c r="AP330" s="10">
        <f>SUM(AD330:AO330)</f>
        <v>250</v>
      </c>
    </row>
    <row r="331" spans="1:44" ht="13.5" thickBot="1" x14ac:dyDescent="0.35">
      <c r="C331" s="6" t="s">
        <v>9</v>
      </c>
      <c r="D331" s="9">
        <v>51481.87</v>
      </c>
      <c r="E331" s="9">
        <v>51407.57</v>
      </c>
      <c r="F331" s="9">
        <v>51333.279999999999</v>
      </c>
      <c r="G331" s="9">
        <v>51258.99</v>
      </c>
      <c r="H331" s="9">
        <v>51184.7</v>
      </c>
      <c r="I331" s="9">
        <v>51110.400000000001</v>
      </c>
      <c r="J331" s="9">
        <v>51036.11</v>
      </c>
      <c r="K331" s="9">
        <v>50961.82</v>
      </c>
      <c r="L331" s="9">
        <v>50890.53</v>
      </c>
      <c r="M331" s="9">
        <v>51722.23</v>
      </c>
      <c r="N331" s="9">
        <v>51644.800000000003</v>
      </c>
      <c r="O331" s="9">
        <v>51567.37</v>
      </c>
      <c r="P331" s="10">
        <f>SUM(D331:O331)</f>
        <v>615599.67000000004</v>
      </c>
      <c r="Q331" s="9">
        <v>51489.94</v>
      </c>
      <c r="R331" s="9">
        <v>51412.51</v>
      </c>
      <c r="S331" s="9">
        <v>51335.08</v>
      </c>
      <c r="T331" s="9">
        <v>51257.66</v>
      </c>
      <c r="U331" s="9">
        <v>51180.23</v>
      </c>
      <c r="V331" s="9">
        <v>51102.8</v>
      </c>
      <c r="W331" s="9">
        <v>51025.37</v>
      </c>
      <c r="X331" s="9">
        <v>50947.94</v>
      </c>
      <c r="Y331" s="9">
        <v>50871.51</v>
      </c>
      <c r="Z331" s="9">
        <v>51740.08</v>
      </c>
      <c r="AA331" s="9">
        <v>51659.39</v>
      </c>
      <c r="AB331" s="9">
        <v>51578.69</v>
      </c>
      <c r="AC331" s="10">
        <f>SUM(Q331:AB331)</f>
        <v>615601.19999999995</v>
      </c>
      <c r="AD331" s="10">
        <v>51498</v>
      </c>
      <c r="AE331" s="10">
        <v>51417.3</v>
      </c>
      <c r="AF331" s="10">
        <v>51336.6</v>
      </c>
      <c r="AG331" s="10">
        <v>51255.91</v>
      </c>
      <c r="AH331" s="10">
        <v>51175.21</v>
      </c>
      <c r="AI331" s="10">
        <v>51094.52</v>
      </c>
      <c r="AJ331" s="10">
        <v>51013.82</v>
      </c>
      <c r="AK331" s="10">
        <v>50933.13</v>
      </c>
      <c r="AL331" s="10">
        <v>50854.43</v>
      </c>
      <c r="AM331" s="10">
        <v>51758.73</v>
      </c>
      <c r="AN331" s="10">
        <v>51674.63</v>
      </c>
      <c r="AO331" s="55">
        <v>51590.53</v>
      </c>
      <c r="AP331" s="10">
        <f>SUM(AD331:AO331)</f>
        <v>615602.80999999994</v>
      </c>
      <c r="AR331" s="33"/>
    </row>
    <row r="332" spans="1:44" ht="13.5" thickBot="1" x14ac:dyDescent="0.35">
      <c r="C332" s="11" t="s">
        <v>111</v>
      </c>
      <c r="D332" s="12">
        <f t="shared" ref="D332:O332" si="231">SUM(D329:D331)</f>
        <v>51731.87</v>
      </c>
      <c r="E332" s="12">
        <f t="shared" si="231"/>
        <v>51407.57</v>
      </c>
      <c r="F332" s="12">
        <f t="shared" si="231"/>
        <v>51333.279999999999</v>
      </c>
      <c r="G332" s="12">
        <f t="shared" si="231"/>
        <v>51258.99</v>
      </c>
      <c r="H332" s="12">
        <f t="shared" si="231"/>
        <v>51184.7</v>
      </c>
      <c r="I332" s="12">
        <f t="shared" si="231"/>
        <v>51110.400000000001</v>
      </c>
      <c r="J332" s="12">
        <f t="shared" si="231"/>
        <v>51036.11</v>
      </c>
      <c r="K332" s="12">
        <f t="shared" si="231"/>
        <v>50961.82</v>
      </c>
      <c r="L332" s="12">
        <f t="shared" si="231"/>
        <v>50890.53</v>
      </c>
      <c r="M332" s="12">
        <f t="shared" si="231"/>
        <v>51722.23</v>
      </c>
      <c r="N332" s="12">
        <f t="shared" si="231"/>
        <v>51644.800000000003</v>
      </c>
      <c r="O332" s="12">
        <f t="shared" si="231"/>
        <v>51567.37</v>
      </c>
      <c r="P332" s="12">
        <f>SUM(P329:P331)</f>
        <v>615849.67000000004</v>
      </c>
      <c r="Q332" s="12">
        <f t="shared" ref="Q332:AB332" si="232">SUM(Q329:Q331)</f>
        <v>51739.94</v>
      </c>
      <c r="R332" s="12">
        <f t="shared" si="232"/>
        <v>51412.51</v>
      </c>
      <c r="S332" s="12">
        <f t="shared" si="232"/>
        <v>51335.08</v>
      </c>
      <c r="T332" s="12">
        <f t="shared" si="232"/>
        <v>51257.66</v>
      </c>
      <c r="U332" s="12">
        <f t="shared" si="232"/>
        <v>51180.23</v>
      </c>
      <c r="V332" s="12">
        <f t="shared" si="232"/>
        <v>51102.8</v>
      </c>
      <c r="W332" s="12">
        <f t="shared" si="232"/>
        <v>51025.37</v>
      </c>
      <c r="X332" s="12">
        <f t="shared" si="232"/>
        <v>50947.94</v>
      </c>
      <c r="Y332" s="12">
        <f t="shared" si="232"/>
        <v>50871.51</v>
      </c>
      <c r="Z332" s="12">
        <f t="shared" si="232"/>
        <v>51740.08</v>
      </c>
      <c r="AA332" s="12">
        <f t="shared" si="232"/>
        <v>51659.39</v>
      </c>
      <c r="AB332" s="12">
        <f t="shared" si="232"/>
        <v>51578.69</v>
      </c>
      <c r="AC332" s="12">
        <f>SUM(AC329:AC331)</f>
        <v>615851.19999999995</v>
      </c>
      <c r="AD332" s="12">
        <f>SUM(AD329:AD331)</f>
        <v>51748</v>
      </c>
      <c r="AE332" s="12">
        <f>SUM(AE329:AE331)</f>
        <v>51417.3</v>
      </c>
      <c r="AF332" s="12">
        <f t="shared" ref="AF332:AO332" si="233">SUM(AF329:AF331)</f>
        <v>51336.6</v>
      </c>
      <c r="AG332" s="12">
        <f t="shared" si="233"/>
        <v>51255.91</v>
      </c>
      <c r="AH332" s="12">
        <f t="shared" si="233"/>
        <v>51175.21</v>
      </c>
      <c r="AI332" s="12">
        <f t="shared" si="233"/>
        <v>51094.52</v>
      </c>
      <c r="AJ332" s="12">
        <f t="shared" si="233"/>
        <v>51013.82</v>
      </c>
      <c r="AK332" s="12">
        <f t="shared" si="233"/>
        <v>50933.13</v>
      </c>
      <c r="AL332" s="12">
        <f t="shared" si="233"/>
        <v>50854.43</v>
      </c>
      <c r="AM332" s="12">
        <f t="shared" si="233"/>
        <v>51758.73</v>
      </c>
      <c r="AN332" s="12">
        <f t="shared" si="233"/>
        <v>51674.63</v>
      </c>
      <c r="AO332" s="57">
        <f t="shared" si="233"/>
        <v>51590.53</v>
      </c>
      <c r="AP332" s="12">
        <f>SUM(AP329:AP331)</f>
        <v>615852.80999999994</v>
      </c>
    </row>
    <row r="333" spans="1:44" x14ac:dyDescent="0.3">
      <c r="C333" s="13"/>
    </row>
    <row r="334" spans="1:44" ht="15.5" x14ac:dyDescent="0.35">
      <c r="B334" s="24" t="s">
        <v>5</v>
      </c>
      <c r="C334" s="8" t="s">
        <v>112</v>
      </c>
    </row>
    <row r="335" spans="1:44" x14ac:dyDescent="0.3">
      <c r="C335" s="6" t="s">
        <v>7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/>
      <c r="M335" s="10"/>
      <c r="N335" s="10"/>
      <c r="O335" s="10"/>
      <c r="P335" s="10">
        <f>SUM(D335:O335)</f>
        <v>0</v>
      </c>
    </row>
    <row r="336" spans="1:44" x14ac:dyDescent="0.3">
      <c r="C336" s="6" t="s">
        <v>8</v>
      </c>
      <c r="D336" s="9">
        <v>250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10">
        <f>SUM(D336:O336)</f>
        <v>250</v>
      </c>
    </row>
    <row r="337" spans="1:16" ht="13.5" thickBot="1" x14ac:dyDescent="0.35">
      <c r="C337" s="6" t="s">
        <v>9</v>
      </c>
      <c r="D337" s="9">
        <f t="shared" ref="D337:K337" si="234">7916.67+106325.52</f>
        <v>114242.19</v>
      </c>
      <c r="E337" s="9">
        <f t="shared" si="234"/>
        <v>114242.19</v>
      </c>
      <c r="F337" s="9">
        <f t="shared" si="234"/>
        <v>114242.19</v>
      </c>
      <c r="G337" s="9">
        <f t="shared" si="234"/>
        <v>114242.19</v>
      </c>
      <c r="H337" s="9">
        <f>7916.67+106325.53</f>
        <v>114242.2</v>
      </c>
      <c r="I337" s="9">
        <f t="shared" si="234"/>
        <v>114242.19</v>
      </c>
      <c r="J337" s="9">
        <f t="shared" si="234"/>
        <v>114242.19</v>
      </c>
      <c r="K337" s="9">
        <f t="shared" si="234"/>
        <v>114242.19</v>
      </c>
      <c r="L337" s="9"/>
      <c r="M337" s="9"/>
      <c r="N337" s="9"/>
      <c r="O337" s="9"/>
      <c r="P337" s="10">
        <f>SUM(D337:O337)</f>
        <v>913937.5299999998</v>
      </c>
    </row>
    <row r="338" spans="1:16" ht="13.5" thickBot="1" x14ac:dyDescent="0.35">
      <c r="C338" s="11" t="s">
        <v>113</v>
      </c>
      <c r="D338" s="12">
        <f t="shared" ref="D338:O338" si="235">SUM(D335:D337)</f>
        <v>114492.19</v>
      </c>
      <c r="E338" s="12">
        <f t="shared" si="235"/>
        <v>114242.19</v>
      </c>
      <c r="F338" s="12">
        <f t="shared" si="235"/>
        <v>114242.19</v>
      </c>
      <c r="G338" s="12">
        <f t="shared" si="235"/>
        <v>114242.19</v>
      </c>
      <c r="H338" s="12">
        <f t="shared" si="235"/>
        <v>114242.2</v>
      </c>
      <c r="I338" s="12">
        <f t="shared" si="235"/>
        <v>114242.19</v>
      </c>
      <c r="J338" s="12">
        <f t="shared" si="235"/>
        <v>114242.19</v>
      </c>
      <c r="K338" s="12">
        <f t="shared" si="235"/>
        <v>114242.19</v>
      </c>
      <c r="L338" s="12">
        <f t="shared" si="235"/>
        <v>0</v>
      </c>
      <c r="M338" s="12">
        <f t="shared" si="235"/>
        <v>0</v>
      </c>
      <c r="N338" s="12">
        <f t="shared" si="235"/>
        <v>0</v>
      </c>
      <c r="O338" s="12">
        <f t="shared" si="235"/>
        <v>0</v>
      </c>
      <c r="P338" s="12">
        <f>SUM(P335:P337)</f>
        <v>914187.5299999998</v>
      </c>
    </row>
    <row r="339" spans="1:16" x14ac:dyDescent="0.3">
      <c r="C339" s="13"/>
    </row>
    <row r="340" spans="1:16" ht="15.5" x14ac:dyDescent="0.35">
      <c r="B340" s="24" t="s">
        <v>5</v>
      </c>
      <c r="C340" s="8" t="s">
        <v>114</v>
      </c>
    </row>
    <row r="341" spans="1:16" x14ac:dyDescent="0.3">
      <c r="C341" s="6" t="s">
        <v>7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/>
      <c r="K341" s="10"/>
      <c r="L341" s="10"/>
      <c r="M341" s="10"/>
      <c r="N341" s="10"/>
      <c r="O341" s="10"/>
      <c r="P341" s="10">
        <f>SUM(D341:O341)</f>
        <v>0</v>
      </c>
    </row>
    <row r="342" spans="1:16" x14ac:dyDescent="0.3">
      <c r="C342" s="6" t="s">
        <v>8</v>
      </c>
      <c r="D342" s="9">
        <v>104.17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10">
        <f>SUM(D342:O342)</f>
        <v>104.17</v>
      </c>
    </row>
    <row r="343" spans="1:16" ht="13.5" thickBot="1" x14ac:dyDescent="0.35">
      <c r="C343" s="6" t="s">
        <v>9</v>
      </c>
      <c r="D343" s="9">
        <v>54825</v>
      </c>
      <c r="E343" s="9">
        <v>54825</v>
      </c>
      <c r="F343" s="9">
        <v>54825</v>
      </c>
      <c r="G343" s="9">
        <v>54825</v>
      </c>
      <c r="H343" s="9">
        <v>54825.02</v>
      </c>
      <c r="I343" s="9"/>
      <c r="J343" s="9"/>
      <c r="K343" s="9"/>
      <c r="L343" s="9"/>
      <c r="M343" s="9"/>
      <c r="N343" s="9"/>
      <c r="O343" s="9"/>
      <c r="P343" s="10">
        <f>SUM(D343:O343)</f>
        <v>274125.02</v>
      </c>
    </row>
    <row r="344" spans="1:16" ht="13.5" thickBot="1" x14ac:dyDescent="0.35">
      <c r="C344" s="11" t="s">
        <v>20</v>
      </c>
      <c r="D344" s="12">
        <f t="shared" ref="D344:O344" si="236">SUM(D341:D343)</f>
        <v>54929.17</v>
      </c>
      <c r="E344" s="12">
        <f t="shared" si="236"/>
        <v>54825</v>
      </c>
      <c r="F344" s="12">
        <f t="shared" si="236"/>
        <v>54825</v>
      </c>
      <c r="G344" s="12">
        <f t="shared" si="236"/>
        <v>54825</v>
      </c>
      <c r="H344" s="12">
        <f t="shared" si="236"/>
        <v>54825.02</v>
      </c>
      <c r="I344" s="12">
        <f t="shared" si="236"/>
        <v>0</v>
      </c>
      <c r="J344" s="12">
        <f t="shared" si="236"/>
        <v>0</v>
      </c>
      <c r="K344" s="12">
        <f t="shared" si="236"/>
        <v>0</v>
      </c>
      <c r="L344" s="12">
        <f t="shared" si="236"/>
        <v>0</v>
      </c>
      <c r="M344" s="12">
        <f t="shared" si="236"/>
        <v>0</v>
      </c>
      <c r="N344" s="12">
        <f t="shared" si="236"/>
        <v>0</v>
      </c>
      <c r="O344" s="12">
        <f t="shared" si="236"/>
        <v>0</v>
      </c>
      <c r="P344" s="12">
        <f>SUM(P341:P343)</f>
        <v>274229.19</v>
      </c>
    </row>
    <row r="345" spans="1:16" x14ac:dyDescent="0.3">
      <c r="C345" s="13"/>
    </row>
    <row r="346" spans="1:16" ht="15.5" x14ac:dyDescent="0.35">
      <c r="B346" s="24" t="s">
        <v>5</v>
      </c>
      <c r="C346" s="8" t="s">
        <v>115</v>
      </c>
    </row>
    <row r="347" spans="1:16" x14ac:dyDescent="0.3">
      <c r="C347" s="6" t="s">
        <v>7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/>
      <c r="K347" s="10"/>
      <c r="L347" s="10"/>
      <c r="M347" s="10"/>
      <c r="N347" s="10"/>
      <c r="O347" s="10"/>
      <c r="P347" s="10">
        <f>SUM(D347:O347)</f>
        <v>0</v>
      </c>
    </row>
    <row r="348" spans="1:16" x14ac:dyDescent="0.3">
      <c r="C348" s="6" t="s">
        <v>8</v>
      </c>
      <c r="D348" s="9">
        <v>250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10">
        <f>SUM(D348:O348)</f>
        <v>250</v>
      </c>
    </row>
    <row r="349" spans="1:16" ht="13.5" thickBot="1" x14ac:dyDescent="0.35">
      <c r="C349" s="6" t="s">
        <v>9</v>
      </c>
      <c r="D349" s="9">
        <f>20833.33+97556.67</f>
        <v>118390</v>
      </c>
      <c r="E349" s="9">
        <f>20833.33+97556.67</f>
        <v>118390</v>
      </c>
      <c r="F349" s="9">
        <f>20833.33+97556.67</f>
        <v>118390</v>
      </c>
      <c r="G349" s="9">
        <f>20833.33+97556.67</f>
        <v>118390</v>
      </c>
      <c r="H349" s="9">
        <f>20833.33+97556.67</f>
        <v>118390</v>
      </c>
      <c r="I349" s="9">
        <f>20833.33+97556.65</f>
        <v>118389.98</v>
      </c>
      <c r="J349" s="9"/>
      <c r="K349" s="9"/>
      <c r="L349" s="9"/>
      <c r="M349" s="9"/>
      <c r="N349" s="9"/>
      <c r="O349" s="9"/>
      <c r="P349" s="10">
        <f>SUM(D349:O349)</f>
        <v>710339.98</v>
      </c>
    </row>
    <row r="350" spans="1:16" ht="13.5" thickBot="1" x14ac:dyDescent="0.35">
      <c r="C350" s="11" t="s">
        <v>116</v>
      </c>
      <c r="D350" s="12">
        <f t="shared" ref="D350:O350" si="237">SUM(D347:D349)</f>
        <v>118640</v>
      </c>
      <c r="E350" s="12">
        <f t="shared" si="237"/>
        <v>118390</v>
      </c>
      <c r="F350" s="12">
        <f t="shared" si="237"/>
        <v>118390</v>
      </c>
      <c r="G350" s="12">
        <f t="shared" si="237"/>
        <v>118390</v>
      </c>
      <c r="H350" s="12">
        <f t="shared" si="237"/>
        <v>118390</v>
      </c>
      <c r="I350" s="12">
        <f t="shared" si="237"/>
        <v>118389.98</v>
      </c>
      <c r="J350" s="12">
        <f t="shared" si="237"/>
        <v>0</v>
      </c>
      <c r="K350" s="12">
        <f t="shared" si="237"/>
        <v>0</v>
      </c>
      <c r="L350" s="12">
        <f t="shared" si="237"/>
        <v>0</v>
      </c>
      <c r="M350" s="12">
        <f t="shared" si="237"/>
        <v>0</v>
      </c>
      <c r="N350" s="12">
        <f t="shared" si="237"/>
        <v>0</v>
      </c>
      <c r="O350" s="12">
        <f t="shared" si="237"/>
        <v>0</v>
      </c>
      <c r="P350" s="12">
        <f>SUM(P347:P349)</f>
        <v>710589.98</v>
      </c>
    </row>
    <row r="351" spans="1:16" x14ac:dyDescent="0.3">
      <c r="C351" s="13"/>
    </row>
    <row r="352" spans="1:16" ht="15.5" x14ac:dyDescent="0.35">
      <c r="A352" s="1">
        <f>A328+1</f>
        <v>42</v>
      </c>
      <c r="B352" s="21"/>
      <c r="C352" s="22" t="s">
        <v>117</v>
      </c>
    </row>
    <row r="353" spans="1:44" x14ac:dyDescent="0.3">
      <c r="C353" s="6" t="s">
        <v>7</v>
      </c>
      <c r="D353" s="9">
        <v>3296.25</v>
      </c>
      <c r="E353" s="9">
        <v>3296.25</v>
      </c>
      <c r="F353" s="9">
        <v>3296.25</v>
      </c>
      <c r="G353" s="9">
        <v>3296.25</v>
      </c>
      <c r="H353" s="9">
        <v>3296.25</v>
      </c>
      <c r="I353" s="9">
        <v>3296.25</v>
      </c>
      <c r="J353" s="9">
        <v>3296.25</v>
      </c>
      <c r="K353" s="9">
        <v>3296.25</v>
      </c>
      <c r="L353" s="9">
        <v>3296.25</v>
      </c>
      <c r="M353" s="9">
        <v>3296.25</v>
      </c>
      <c r="N353" s="9">
        <v>3296.25</v>
      </c>
      <c r="O353" s="9">
        <v>3296.25</v>
      </c>
      <c r="P353" s="10">
        <f>SUM(D353:O353)</f>
        <v>39555</v>
      </c>
      <c r="Q353" s="9">
        <v>3239.58</v>
      </c>
      <c r="R353" s="9">
        <v>3239.58</v>
      </c>
      <c r="S353" s="9">
        <v>3239.58</v>
      </c>
      <c r="T353" s="9">
        <v>3239.58</v>
      </c>
      <c r="U353" s="9">
        <v>3239.58</v>
      </c>
      <c r="V353" s="9">
        <v>3239.58</v>
      </c>
      <c r="W353" s="9">
        <v>3239.58</v>
      </c>
      <c r="X353" s="9">
        <v>3239.58</v>
      </c>
      <c r="Y353" s="9">
        <v>3239.58</v>
      </c>
      <c r="Z353" s="9">
        <v>3239.58</v>
      </c>
      <c r="AA353" s="9">
        <v>3239.58</v>
      </c>
      <c r="AB353" s="9">
        <v>3239.58</v>
      </c>
      <c r="AC353" s="10">
        <f>SUM(Q353:AB353)</f>
        <v>38874.960000000006</v>
      </c>
      <c r="AD353" s="10">
        <v>3180</v>
      </c>
      <c r="AE353" s="10">
        <v>3180</v>
      </c>
      <c r="AF353" s="10">
        <v>3180</v>
      </c>
      <c r="AG353" s="10">
        <v>3180</v>
      </c>
      <c r="AH353" s="10">
        <v>3180</v>
      </c>
      <c r="AI353" s="10">
        <v>3180</v>
      </c>
      <c r="AJ353" s="10">
        <v>3180</v>
      </c>
      <c r="AK353" s="10">
        <v>3180</v>
      </c>
      <c r="AL353" s="10">
        <v>3180</v>
      </c>
      <c r="AM353" s="10">
        <v>3180</v>
      </c>
      <c r="AN353" s="10">
        <v>3180</v>
      </c>
      <c r="AO353" s="55">
        <v>3180</v>
      </c>
      <c r="AP353" s="10">
        <f>SUM(AD353:AO353)</f>
        <v>38160</v>
      </c>
    </row>
    <row r="354" spans="1:44" x14ac:dyDescent="0.3">
      <c r="C354" s="6" t="s">
        <v>8</v>
      </c>
      <c r="D354" s="9">
        <v>250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10">
        <f>SUM(D354:O354)</f>
        <v>250</v>
      </c>
      <c r="Q354" s="9">
        <v>250</v>
      </c>
      <c r="AC354" s="10">
        <f>SUM(Q354:AB354)</f>
        <v>250</v>
      </c>
      <c r="AD354" s="9">
        <v>250</v>
      </c>
      <c r="AE354" s="9"/>
      <c r="AF354" s="9"/>
      <c r="AG354" s="9"/>
      <c r="AH354" s="9"/>
      <c r="AI354" s="9"/>
      <c r="AJ354" s="9"/>
      <c r="AK354" s="9"/>
      <c r="AL354" s="9"/>
      <c r="AM354" s="9"/>
      <c r="AN354" s="23"/>
      <c r="AO354" s="56"/>
      <c r="AP354" s="10">
        <f>SUM(AD354:AO354)</f>
        <v>250</v>
      </c>
    </row>
    <row r="355" spans="1:44" ht="13.5" thickBot="1" x14ac:dyDescent="0.35">
      <c r="C355" s="6" t="s">
        <v>9</v>
      </c>
      <c r="D355" s="10">
        <f>56666.67+148033.33</f>
        <v>204700</v>
      </c>
      <c r="E355" s="10">
        <f>56666.67+148033.33</f>
        <v>204700</v>
      </c>
      <c r="F355" s="10">
        <f>56666.67+148033.33</f>
        <v>204700</v>
      </c>
      <c r="G355" s="10">
        <f>56666.67+148033.33</f>
        <v>204700</v>
      </c>
      <c r="H355" s="10">
        <f>56666.67+148033.33</f>
        <v>204700</v>
      </c>
      <c r="I355" s="9">
        <f>59583.33+145200</f>
        <v>204783.33000000002</v>
      </c>
      <c r="J355" s="9">
        <f t="shared" ref="J355:U355" si="238">59583.33+145200</f>
        <v>204783.33000000002</v>
      </c>
      <c r="K355" s="9">
        <f t="shared" si="238"/>
        <v>204783.33000000002</v>
      </c>
      <c r="L355" s="9">
        <f t="shared" si="238"/>
        <v>204783.33000000002</v>
      </c>
      <c r="M355" s="9">
        <f t="shared" si="238"/>
        <v>204783.33000000002</v>
      </c>
      <c r="N355" s="9">
        <f t="shared" si="238"/>
        <v>204783.33000000002</v>
      </c>
      <c r="O355" s="9">
        <f t="shared" si="238"/>
        <v>204783.33000000002</v>
      </c>
      <c r="P355" s="10">
        <f>SUM(D355:O355)</f>
        <v>2456983.3100000005</v>
      </c>
      <c r="Q355" s="9">
        <f t="shared" si="238"/>
        <v>204783.33000000002</v>
      </c>
      <c r="R355" s="9">
        <f t="shared" si="238"/>
        <v>204783.33000000002</v>
      </c>
      <c r="S355" s="9">
        <f t="shared" si="238"/>
        <v>204783.33000000002</v>
      </c>
      <c r="T355" s="9">
        <f t="shared" si="238"/>
        <v>204783.33000000002</v>
      </c>
      <c r="U355" s="9">
        <f t="shared" si="238"/>
        <v>204783.33000000002</v>
      </c>
      <c r="V355" s="9">
        <f>62916.67+142220.83</f>
        <v>205137.5</v>
      </c>
      <c r="W355" s="9">
        <f t="shared" ref="W355:AH355" si="239">62916.67+142220.83</f>
        <v>205137.5</v>
      </c>
      <c r="X355" s="9">
        <f t="shared" si="239"/>
        <v>205137.5</v>
      </c>
      <c r="Y355" s="9">
        <f t="shared" si="239"/>
        <v>205137.5</v>
      </c>
      <c r="Z355" s="9">
        <f t="shared" si="239"/>
        <v>205137.5</v>
      </c>
      <c r="AA355" s="9">
        <f t="shared" si="239"/>
        <v>205137.5</v>
      </c>
      <c r="AB355" s="9">
        <f t="shared" si="239"/>
        <v>205137.5</v>
      </c>
      <c r="AC355" s="10">
        <f>SUM(Q355:AB355)</f>
        <v>2459879.1500000004</v>
      </c>
      <c r="AD355" s="9">
        <f t="shared" si="239"/>
        <v>205137.5</v>
      </c>
      <c r="AE355" s="9">
        <f t="shared" si="239"/>
        <v>205137.5</v>
      </c>
      <c r="AF355" s="9">
        <f t="shared" si="239"/>
        <v>205137.5</v>
      </c>
      <c r="AG355" s="9">
        <f t="shared" si="239"/>
        <v>205137.5</v>
      </c>
      <c r="AH355" s="9">
        <f t="shared" si="239"/>
        <v>205137.5</v>
      </c>
      <c r="AI355" s="10">
        <f>65833.33+139075</f>
        <v>204908.33000000002</v>
      </c>
      <c r="AJ355" s="10">
        <f t="shared" ref="AJ355:AO355" si="240">65833.33+139075</f>
        <v>204908.33000000002</v>
      </c>
      <c r="AK355" s="10">
        <f t="shared" si="240"/>
        <v>204908.33000000002</v>
      </c>
      <c r="AL355" s="10">
        <f t="shared" si="240"/>
        <v>204908.33000000002</v>
      </c>
      <c r="AM355" s="10">
        <f t="shared" si="240"/>
        <v>204908.33000000002</v>
      </c>
      <c r="AN355" s="10">
        <f t="shared" si="240"/>
        <v>204908.33000000002</v>
      </c>
      <c r="AO355" s="55">
        <f t="shared" si="240"/>
        <v>204908.33000000002</v>
      </c>
      <c r="AP355" s="10">
        <f>SUM(AD355:AO355)</f>
        <v>2460045.8100000005</v>
      </c>
      <c r="AR355" s="33"/>
    </row>
    <row r="356" spans="1:44" ht="13.5" thickBot="1" x14ac:dyDescent="0.35">
      <c r="C356" s="11" t="s">
        <v>118</v>
      </c>
      <c r="D356" s="12">
        <f t="shared" ref="D356:O356" si="241">SUM(D353:D355)</f>
        <v>208246.25</v>
      </c>
      <c r="E356" s="12">
        <f t="shared" si="241"/>
        <v>207996.25</v>
      </c>
      <c r="F356" s="12">
        <f t="shared" si="241"/>
        <v>207996.25</v>
      </c>
      <c r="G356" s="12">
        <f t="shared" si="241"/>
        <v>207996.25</v>
      </c>
      <c r="H356" s="12">
        <f t="shared" si="241"/>
        <v>207996.25</v>
      </c>
      <c r="I356" s="12">
        <f t="shared" si="241"/>
        <v>208079.58000000002</v>
      </c>
      <c r="J356" s="12">
        <f t="shared" si="241"/>
        <v>208079.58000000002</v>
      </c>
      <c r="K356" s="12">
        <f t="shared" si="241"/>
        <v>208079.58000000002</v>
      </c>
      <c r="L356" s="12">
        <f t="shared" si="241"/>
        <v>208079.58000000002</v>
      </c>
      <c r="M356" s="12">
        <f t="shared" si="241"/>
        <v>208079.58000000002</v>
      </c>
      <c r="N356" s="12">
        <f t="shared" si="241"/>
        <v>208079.58000000002</v>
      </c>
      <c r="O356" s="12">
        <f t="shared" si="241"/>
        <v>208079.58000000002</v>
      </c>
      <c r="P356" s="12">
        <f>SUM(P353:P355)</f>
        <v>2496788.3100000005</v>
      </c>
      <c r="Q356" s="12">
        <f t="shared" ref="Q356:AB356" si="242">SUM(Q353:Q355)</f>
        <v>208272.91</v>
      </c>
      <c r="R356" s="12">
        <f t="shared" si="242"/>
        <v>208022.91</v>
      </c>
      <c r="S356" s="12">
        <f t="shared" si="242"/>
        <v>208022.91</v>
      </c>
      <c r="T356" s="12">
        <f t="shared" si="242"/>
        <v>208022.91</v>
      </c>
      <c r="U356" s="12">
        <f t="shared" si="242"/>
        <v>208022.91</v>
      </c>
      <c r="V356" s="12">
        <f t="shared" si="242"/>
        <v>208377.08</v>
      </c>
      <c r="W356" s="12">
        <f t="shared" si="242"/>
        <v>208377.08</v>
      </c>
      <c r="X356" s="12">
        <f t="shared" si="242"/>
        <v>208377.08</v>
      </c>
      <c r="Y356" s="12">
        <f t="shared" si="242"/>
        <v>208377.08</v>
      </c>
      <c r="Z356" s="12">
        <f t="shared" si="242"/>
        <v>208377.08</v>
      </c>
      <c r="AA356" s="12">
        <f t="shared" si="242"/>
        <v>208377.08</v>
      </c>
      <c r="AB356" s="12">
        <f t="shared" si="242"/>
        <v>208377.08</v>
      </c>
      <c r="AC356" s="12">
        <f>SUM(AC353:AC355)</f>
        <v>2499004.1100000003</v>
      </c>
      <c r="AD356" s="12">
        <f>SUM(AD353:AD355)</f>
        <v>208567.5</v>
      </c>
      <c r="AE356" s="12">
        <f>SUM(AE353:AE355)</f>
        <v>208317.5</v>
      </c>
      <c r="AF356" s="12">
        <f t="shared" ref="AF356:AO356" si="243">SUM(AF353:AF355)</f>
        <v>208317.5</v>
      </c>
      <c r="AG356" s="12">
        <f t="shared" si="243"/>
        <v>208317.5</v>
      </c>
      <c r="AH356" s="12">
        <f t="shared" si="243"/>
        <v>208317.5</v>
      </c>
      <c r="AI356" s="12">
        <f t="shared" si="243"/>
        <v>208088.33000000002</v>
      </c>
      <c r="AJ356" s="12">
        <f t="shared" si="243"/>
        <v>208088.33000000002</v>
      </c>
      <c r="AK356" s="12">
        <f t="shared" si="243"/>
        <v>208088.33000000002</v>
      </c>
      <c r="AL356" s="12">
        <f t="shared" si="243"/>
        <v>208088.33000000002</v>
      </c>
      <c r="AM356" s="12">
        <f t="shared" si="243"/>
        <v>208088.33000000002</v>
      </c>
      <c r="AN356" s="12">
        <f t="shared" si="243"/>
        <v>208088.33000000002</v>
      </c>
      <c r="AO356" s="57">
        <f t="shared" si="243"/>
        <v>208088.33000000002</v>
      </c>
      <c r="AP356" s="12">
        <f>SUM(AP353:AP355)</f>
        <v>2498455.8100000005</v>
      </c>
    </row>
    <row r="357" spans="1:44" x14ac:dyDescent="0.3">
      <c r="C357" s="13"/>
    </row>
    <row r="358" spans="1:44" ht="15.5" x14ac:dyDescent="0.35">
      <c r="B358" s="24" t="s">
        <v>5</v>
      </c>
      <c r="C358" s="8" t="s">
        <v>119</v>
      </c>
    </row>
    <row r="359" spans="1:44" x14ac:dyDescent="0.3">
      <c r="C359" s="6" t="s">
        <v>7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f>SUM(D359:O359)</f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/>
      <c r="W359" s="10"/>
      <c r="X359" s="10"/>
      <c r="Y359" s="10"/>
      <c r="Z359" s="10"/>
      <c r="AA359" s="10"/>
      <c r="AB359" s="10"/>
      <c r="AC359" s="10">
        <f>SUM(Q359:AB359)</f>
        <v>0</v>
      </c>
    </row>
    <row r="360" spans="1:44" x14ac:dyDescent="0.3">
      <c r="C360" s="6" t="s">
        <v>8</v>
      </c>
      <c r="D360" s="9">
        <v>250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10">
        <f>SUM(D360:O360)</f>
        <v>250</v>
      </c>
      <c r="Q360" s="9">
        <v>250</v>
      </c>
      <c r="AC360" s="10">
        <f>SUM(Q360:AB360)</f>
        <v>250</v>
      </c>
    </row>
    <row r="361" spans="1:44" ht="13.5" thickBot="1" x14ac:dyDescent="0.35">
      <c r="C361" s="6" t="s">
        <v>9</v>
      </c>
      <c r="D361" s="9">
        <v>42189.21</v>
      </c>
      <c r="E361" s="9">
        <v>42134.34</v>
      </c>
      <c r="F361" s="9">
        <v>42330.48</v>
      </c>
      <c r="G361" s="9">
        <v>44542.77</v>
      </c>
      <c r="H361" s="9">
        <v>44005.47</v>
      </c>
      <c r="I361" s="9">
        <v>43943.76</v>
      </c>
      <c r="J361" s="9">
        <v>43882.04</v>
      </c>
      <c r="K361" s="9">
        <v>43820.33</v>
      </c>
      <c r="L361" s="9">
        <v>43758.62</v>
      </c>
      <c r="M361" s="9">
        <v>43696.91</v>
      </c>
      <c r="N361" s="9">
        <v>43635.19</v>
      </c>
      <c r="O361" s="9">
        <v>43573.48</v>
      </c>
      <c r="P361" s="10">
        <f>SUM(D361:O361)</f>
        <v>521512.60000000003</v>
      </c>
      <c r="Q361" s="9">
        <v>43511.77</v>
      </c>
      <c r="R361" s="9">
        <v>43450.05</v>
      </c>
      <c r="S361" s="9">
        <v>43596.34</v>
      </c>
      <c r="T361" s="9">
        <v>44580.93</v>
      </c>
      <c r="U361" s="9">
        <v>44014.02</v>
      </c>
      <c r="V361" s="9"/>
      <c r="W361" s="9"/>
      <c r="X361" s="9"/>
      <c r="Y361" s="9"/>
      <c r="Z361" s="9"/>
      <c r="AA361" s="9"/>
      <c r="AB361" s="9"/>
      <c r="AC361" s="10">
        <f>SUM(Q361:AB361)</f>
        <v>219153.11</v>
      </c>
    </row>
    <row r="362" spans="1:44" ht="13.5" thickBot="1" x14ac:dyDescent="0.35">
      <c r="C362" s="11" t="s">
        <v>120</v>
      </c>
      <c r="D362" s="12">
        <f t="shared" ref="D362:O362" si="244">SUM(D359:D361)</f>
        <v>42439.21</v>
      </c>
      <c r="E362" s="12">
        <f t="shared" si="244"/>
        <v>42134.34</v>
      </c>
      <c r="F362" s="12">
        <f t="shared" si="244"/>
        <v>42330.48</v>
      </c>
      <c r="G362" s="12">
        <f t="shared" si="244"/>
        <v>44542.77</v>
      </c>
      <c r="H362" s="12">
        <f t="shared" si="244"/>
        <v>44005.47</v>
      </c>
      <c r="I362" s="12">
        <f t="shared" si="244"/>
        <v>43943.76</v>
      </c>
      <c r="J362" s="12">
        <f t="shared" si="244"/>
        <v>43882.04</v>
      </c>
      <c r="K362" s="12">
        <f t="shared" si="244"/>
        <v>43820.33</v>
      </c>
      <c r="L362" s="12">
        <f t="shared" si="244"/>
        <v>43758.62</v>
      </c>
      <c r="M362" s="12">
        <f t="shared" si="244"/>
        <v>43696.91</v>
      </c>
      <c r="N362" s="12">
        <f t="shared" si="244"/>
        <v>43635.19</v>
      </c>
      <c r="O362" s="12">
        <f t="shared" si="244"/>
        <v>43573.48</v>
      </c>
      <c r="P362" s="12">
        <f>SUM(P359:P361)</f>
        <v>521762.60000000003</v>
      </c>
      <c r="Q362" s="12">
        <f t="shared" ref="Q362:AB362" si="245">SUM(Q359:Q361)</f>
        <v>43761.77</v>
      </c>
      <c r="R362" s="12">
        <f t="shared" si="245"/>
        <v>43450.05</v>
      </c>
      <c r="S362" s="12">
        <f t="shared" si="245"/>
        <v>43596.34</v>
      </c>
      <c r="T362" s="12">
        <f t="shared" si="245"/>
        <v>44580.93</v>
      </c>
      <c r="U362" s="12">
        <f t="shared" si="245"/>
        <v>44014.02</v>
      </c>
      <c r="V362" s="12">
        <f t="shared" si="245"/>
        <v>0</v>
      </c>
      <c r="W362" s="12">
        <f t="shared" si="245"/>
        <v>0</v>
      </c>
      <c r="X362" s="12">
        <f t="shared" si="245"/>
        <v>0</v>
      </c>
      <c r="Y362" s="12">
        <f t="shared" si="245"/>
        <v>0</v>
      </c>
      <c r="Z362" s="12">
        <f t="shared" si="245"/>
        <v>0</v>
      </c>
      <c r="AA362" s="12">
        <f t="shared" si="245"/>
        <v>0</v>
      </c>
      <c r="AB362" s="12">
        <f t="shared" si="245"/>
        <v>0</v>
      </c>
      <c r="AC362" s="12">
        <f>SUM(AC359:AC361)</f>
        <v>219403.11</v>
      </c>
    </row>
    <row r="363" spans="1:44" x14ac:dyDescent="0.3">
      <c r="C363" s="13"/>
    </row>
    <row r="364" spans="1:44" ht="15.5" x14ac:dyDescent="0.35">
      <c r="A364" s="1">
        <f>A352+1</f>
        <v>43</v>
      </c>
      <c r="B364" s="21"/>
      <c r="C364" s="22" t="s">
        <v>121</v>
      </c>
    </row>
    <row r="365" spans="1:44" x14ac:dyDescent="0.3">
      <c r="C365" s="6" t="s">
        <v>7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f>SUM(D365:O365)</f>
        <v>0</v>
      </c>
      <c r="Q365" s="10">
        <v>0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f>SUM(Q365:AB365)</f>
        <v>0</v>
      </c>
      <c r="AD365" s="10">
        <v>0</v>
      </c>
      <c r="AE365" s="10">
        <v>0</v>
      </c>
      <c r="AF365" s="10">
        <v>0</v>
      </c>
      <c r="AG365" s="10">
        <v>0</v>
      </c>
      <c r="AH365" s="10">
        <v>0</v>
      </c>
      <c r="AI365" s="10">
        <v>0</v>
      </c>
      <c r="AJ365" s="10">
        <v>0</v>
      </c>
      <c r="AK365" s="10">
        <v>0</v>
      </c>
      <c r="AL365" s="10">
        <v>0</v>
      </c>
      <c r="AM365" s="10">
        <v>0</v>
      </c>
      <c r="AN365" s="10">
        <v>0</v>
      </c>
      <c r="AO365" s="55">
        <v>0</v>
      </c>
      <c r="AP365" s="10">
        <f>SUM(AD365:AO365)</f>
        <v>0</v>
      </c>
    </row>
    <row r="366" spans="1:44" x14ac:dyDescent="0.3">
      <c r="C366" s="6" t="s">
        <v>8</v>
      </c>
      <c r="D366" s="9">
        <v>250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10">
        <f>SUM(D366:O366)</f>
        <v>250</v>
      </c>
      <c r="Q366" s="9">
        <v>250</v>
      </c>
      <c r="AC366" s="10">
        <f>SUM(Q366:AB366)</f>
        <v>250</v>
      </c>
      <c r="AD366" s="9">
        <v>250</v>
      </c>
      <c r="AE366" s="9"/>
      <c r="AF366" s="9"/>
      <c r="AG366" s="9"/>
      <c r="AH366" s="9"/>
      <c r="AI366" s="9"/>
      <c r="AJ366" s="9"/>
      <c r="AK366" s="9"/>
      <c r="AL366" s="9"/>
      <c r="AM366" s="9"/>
      <c r="AN366" s="23"/>
      <c r="AO366" s="56"/>
      <c r="AP366" s="10">
        <f>SUM(AD366:AO366)</f>
        <v>250</v>
      </c>
    </row>
    <row r="367" spans="1:44" ht="13.5" thickBot="1" x14ac:dyDescent="0.35">
      <c r="C367" s="6" t="s">
        <v>9</v>
      </c>
      <c r="D367" s="10">
        <v>33982.839999999997</v>
      </c>
      <c r="E367" s="10">
        <v>33982.839999999997</v>
      </c>
      <c r="F367" s="10">
        <v>33982.839999999997</v>
      </c>
      <c r="G367" s="10">
        <v>33982.839999999997</v>
      </c>
      <c r="H367" s="10">
        <v>33982.839999999997</v>
      </c>
      <c r="I367" s="10">
        <v>33982.839999999997</v>
      </c>
      <c r="J367" s="10">
        <v>33982.839999999997</v>
      </c>
      <c r="K367" s="10">
        <v>33982.839999999997</v>
      </c>
      <c r="L367" s="10">
        <v>33982.839999999997</v>
      </c>
      <c r="M367" s="10">
        <v>33982.839999999997</v>
      </c>
      <c r="N367" s="10">
        <v>33982.839999999997</v>
      </c>
      <c r="O367" s="10">
        <v>33982.839999999997</v>
      </c>
      <c r="P367" s="10">
        <f>SUM(D367:O367)</f>
        <v>407794.07999999984</v>
      </c>
      <c r="Q367" s="10">
        <v>33982.839999999997</v>
      </c>
      <c r="R367" s="10">
        <v>33982.839999999997</v>
      </c>
      <c r="S367" s="10">
        <v>33982.839999999997</v>
      </c>
      <c r="T367" s="10">
        <v>33982.839999999997</v>
      </c>
      <c r="U367" s="10">
        <v>33982.839999999997</v>
      </c>
      <c r="V367" s="10">
        <v>33982.839999999997</v>
      </c>
      <c r="W367" s="10">
        <v>33982.839999999997</v>
      </c>
      <c r="X367" s="10">
        <v>33982.839999999997</v>
      </c>
      <c r="Y367" s="10">
        <v>33982.839999999997</v>
      </c>
      <c r="Z367" s="10">
        <v>33982.839999999997</v>
      </c>
      <c r="AA367" s="10">
        <v>33982.839999999997</v>
      </c>
      <c r="AB367" s="10">
        <v>33982.839999999997</v>
      </c>
      <c r="AC367" s="10">
        <f>SUM(Q367:AB367)</f>
        <v>407794.07999999984</v>
      </c>
      <c r="AD367" s="10">
        <v>33982.839999999997</v>
      </c>
      <c r="AE367" s="10">
        <v>33982.839999999997</v>
      </c>
      <c r="AF367" s="10">
        <v>33982.839999999997</v>
      </c>
      <c r="AG367" s="10">
        <v>33982.839999999997</v>
      </c>
      <c r="AH367" s="10">
        <v>33982.839999999997</v>
      </c>
      <c r="AI367" s="10">
        <v>33982.839999999997</v>
      </c>
      <c r="AJ367" s="10">
        <v>33982.839999999997</v>
      </c>
      <c r="AK367" s="10">
        <v>33982.839999999997</v>
      </c>
      <c r="AL367" s="10">
        <v>33982.839999999997</v>
      </c>
      <c r="AM367" s="10">
        <v>33982.839999999997</v>
      </c>
      <c r="AN367" s="10">
        <v>33982.839999999997</v>
      </c>
      <c r="AO367" s="55">
        <v>33982.839999999997</v>
      </c>
      <c r="AP367" s="10">
        <f>SUM(AD367:AO367)</f>
        <v>407794.07999999984</v>
      </c>
      <c r="AR367" s="33"/>
    </row>
    <row r="368" spans="1:44" ht="13.5" thickBot="1" x14ac:dyDescent="0.35">
      <c r="C368" s="11" t="s">
        <v>122</v>
      </c>
      <c r="D368" s="12">
        <f t="shared" ref="D368:O368" si="246">SUM(D365:D367)</f>
        <v>34232.839999999997</v>
      </c>
      <c r="E368" s="12">
        <f t="shared" si="246"/>
        <v>33982.839999999997</v>
      </c>
      <c r="F368" s="12">
        <f t="shared" si="246"/>
        <v>33982.839999999997</v>
      </c>
      <c r="G368" s="12">
        <f t="shared" si="246"/>
        <v>33982.839999999997</v>
      </c>
      <c r="H368" s="12">
        <f t="shared" si="246"/>
        <v>33982.839999999997</v>
      </c>
      <c r="I368" s="12">
        <f t="shared" si="246"/>
        <v>33982.839999999997</v>
      </c>
      <c r="J368" s="12">
        <f t="shared" si="246"/>
        <v>33982.839999999997</v>
      </c>
      <c r="K368" s="12">
        <f t="shared" si="246"/>
        <v>33982.839999999997</v>
      </c>
      <c r="L368" s="12">
        <f t="shared" si="246"/>
        <v>33982.839999999997</v>
      </c>
      <c r="M368" s="12">
        <f t="shared" si="246"/>
        <v>33982.839999999997</v>
      </c>
      <c r="N368" s="12">
        <f t="shared" si="246"/>
        <v>33982.839999999997</v>
      </c>
      <c r="O368" s="12">
        <f t="shared" si="246"/>
        <v>33982.839999999997</v>
      </c>
      <c r="P368" s="12">
        <f>SUM(P365:P367)</f>
        <v>408044.07999999984</v>
      </c>
      <c r="Q368" s="12">
        <f t="shared" ref="Q368:AB368" si="247">SUM(Q365:Q367)</f>
        <v>34232.839999999997</v>
      </c>
      <c r="R368" s="12">
        <f t="shared" si="247"/>
        <v>33982.839999999997</v>
      </c>
      <c r="S368" s="12">
        <f t="shared" si="247"/>
        <v>33982.839999999997</v>
      </c>
      <c r="T368" s="12">
        <f t="shared" si="247"/>
        <v>33982.839999999997</v>
      </c>
      <c r="U368" s="12">
        <f t="shared" si="247"/>
        <v>33982.839999999997</v>
      </c>
      <c r="V368" s="12">
        <f t="shared" si="247"/>
        <v>33982.839999999997</v>
      </c>
      <c r="W368" s="12">
        <f t="shared" si="247"/>
        <v>33982.839999999997</v>
      </c>
      <c r="X368" s="12">
        <f t="shared" si="247"/>
        <v>33982.839999999997</v>
      </c>
      <c r="Y368" s="12">
        <f t="shared" si="247"/>
        <v>33982.839999999997</v>
      </c>
      <c r="Z368" s="12">
        <f t="shared" si="247"/>
        <v>33982.839999999997</v>
      </c>
      <c r="AA368" s="12">
        <f t="shared" si="247"/>
        <v>33982.839999999997</v>
      </c>
      <c r="AB368" s="12">
        <f t="shared" si="247"/>
        <v>33982.839999999997</v>
      </c>
      <c r="AC368" s="12">
        <f>SUM(AC365:AC367)</f>
        <v>408044.07999999984</v>
      </c>
      <c r="AD368" s="12">
        <f>SUM(AD365:AD367)</f>
        <v>34232.839999999997</v>
      </c>
      <c r="AE368" s="12">
        <f>SUM(AE365:AE367)</f>
        <v>33982.839999999997</v>
      </c>
      <c r="AF368" s="12">
        <f t="shared" ref="AF368:AO368" si="248">SUM(AF365:AF367)</f>
        <v>33982.839999999997</v>
      </c>
      <c r="AG368" s="12">
        <f t="shared" si="248"/>
        <v>33982.839999999997</v>
      </c>
      <c r="AH368" s="12">
        <f t="shared" si="248"/>
        <v>33982.839999999997</v>
      </c>
      <c r="AI368" s="12">
        <f t="shared" si="248"/>
        <v>33982.839999999997</v>
      </c>
      <c r="AJ368" s="12">
        <f t="shared" si="248"/>
        <v>33982.839999999997</v>
      </c>
      <c r="AK368" s="12">
        <f t="shared" si="248"/>
        <v>33982.839999999997</v>
      </c>
      <c r="AL368" s="12">
        <f t="shared" si="248"/>
        <v>33982.839999999997</v>
      </c>
      <c r="AM368" s="12">
        <f t="shared" si="248"/>
        <v>33982.839999999997</v>
      </c>
      <c r="AN368" s="12">
        <f t="shared" si="248"/>
        <v>33982.839999999997</v>
      </c>
      <c r="AO368" s="57">
        <f t="shared" si="248"/>
        <v>33982.839999999997</v>
      </c>
      <c r="AP368" s="12">
        <f>SUM(AP365:AP367)</f>
        <v>408044.07999999984</v>
      </c>
    </row>
    <row r="369" spans="1:44" x14ac:dyDescent="0.3">
      <c r="C369" s="13"/>
    </row>
    <row r="370" spans="1:44" ht="15.5" x14ac:dyDescent="0.35">
      <c r="A370" s="1">
        <f>A364+1</f>
        <v>44</v>
      </c>
      <c r="B370" s="21"/>
      <c r="C370" s="22" t="s">
        <v>123</v>
      </c>
    </row>
    <row r="371" spans="1:44" x14ac:dyDescent="0.3">
      <c r="C371" s="6" t="s">
        <v>7</v>
      </c>
      <c r="D371" s="10">
        <v>0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f>SUM(D371:O371)</f>
        <v>0</v>
      </c>
      <c r="Q371" s="10">
        <v>0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0">
        <f>SUM(Q371:AB371)</f>
        <v>0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55">
        <v>0</v>
      </c>
      <c r="AP371" s="10">
        <f>SUM(AD371:AO371)</f>
        <v>0</v>
      </c>
    </row>
    <row r="372" spans="1:44" x14ac:dyDescent="0.3">
      <c r="C372" s="6" t="s">
        <v>8</v>
      </c>
      <c r="D372" s="9">
        <v>250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10">
        <f>SUM(D372:O372)</f>
        <v>250</v>
      </c>
      <c r="Q372" s="9">
        <v>250</v>
      </c>
      <c r="AC372" s="10">
        <f>SUM(Q372:AB372)</f>
        <v>250</v>
      </c>
      <c r="AD372" s="9">
        <v>250</v>
      </c>
      <c r="AE372" s="9"/>
      <c r="AF372" s="9"/>
      <c r="AG372" s="9"/>
      <c r="AH372" s="9"/>
      <c r="AI372" s="9"/>
      <c r="AJ372" s="9"/>
      <c r="AK372" s="9"/>
      <c r="AL372" s="9"/>
      <c r="AM372" s="9"/>
      <c r="AN372" s="23"/>
      <c r="AO372" s="56"/>
      <c r="AP372" s="10">
        <f>SUM(AD372:AO372)</f>
        <v>250</v>
      </c>
    </row>
    <row r="373" spans="1:44" ht="13.5" thickBot="1" x14ac:dyDescent="0.35">
      <c r="C373" s="6" t="s">
        <v>9</v>
      </c>
      <c r="D373" s="9">
        <f>35000+76560</f>
        <v>111560</v>
      </c>
      <c r="E373" s="9">
        <f>35000+76560.01</f>
        <v>111560.01</v>
      </c>
      <c r="F373" s="9">
        <f>35000+76179.38</f>
        <v>111179.38</v>
      </c>
      <c r="G373" s="9">
        <f>35000+76179.38</f>
        <v>111179.38</v>
      </c>
      <c r="H373" s="9">
        <f>35000+76179.37</f>
        <v>111179.37</v>
      </c>
      <c r="I373" s="9">
        <f>35000+75798.75</f>
        <v>110798.75</v>
      </c>
      <c r="J373" s="9">
        <f>35000+75798.75</f>
        <v>110798.75</v>
      </c>
      <c r="K373" s="9">
        <f>35000+75798.75</f>
        <v>110798.75</v>
      </c>
      <c r="L373" s="9">
        <f>35000+75418.13</f>
        <v>110418.13</v>
      </c>
      <c r="M373" s="9">
        <f>35000+75418.13</f>
        <v>110418.13</v>
      </c>
      <c r="N373" s="9">
        <f>35000+75418.12</f>
        <v>110418.12</v>
      </c>
      <c r="O373" s="9">
        <f>36666.67+75037.5</f>
        <v>111704.17</v>
      </c>
      <c r="P373" s="10">
        <f>SUM(D373:O373)</f>
        <v>1332012.94</v>
      </c>
      <c r="Q373" s="9">
        <f>36666.67+75037.5</f>
        <v>111704.17</v>
      </c>
      <c r="R373" s="9">
        <f>36666.66+75037.5</f>
        <v>111704.16</v>
      </c>
      <c r="S373" s="9">
        <f>36666.67+74638.75</f>
        <v>111305.42</v>
      </c>
      <c r="T373" s="9">
        <f>36666.67+74638.75</f>
        <v>111305.42</v>
      </c>
      <c r="U373" s="9">
        <f>36666.66+74638.75</f>
        <v>111305.41</v>
      </c>
      <c r="V373" s="9">
        <f>36666.67+74240</f>
        <v>110906.67</v>
      </c>
      <c r="W373" s="9">
        <f>36666.67+74240</f>
        <v>110906.67</v>
      </c>
      <c r="X373" s="9">
        <f>36666.66+74240.01</f>
        <v>110906.67</v>
      </c>
      <c r="Y373" s="9">
        <f>36666.67+73841.25</f>
        <v>110507.92</v>
      </c>
      <c r="Z373" s="9">
        <f>36666.67+73841.25</f>
        <v>110507.92</v>
      </c>
      <c r="AA373" s="9">
        <f>36666.66+73841.25</f>
        <v>110507.91</v>
      </c>
      <c r="AB373" s="9">
        <f>38333.33+73442.5</f>
        <v>111775.83</v>
      </c>
      <c r="AC373" s="10">
        <f>SUM(Q373:AB373)</f>
        <v>1333344.1700000002</v>
      </c>
      <c r="AD373" s="9">
        <f>38333.33+73442.5</f>
        <v>111775.83</v>
      </c>
      <c r="AE373" s="9">
        <f>38333.34+73442.5</f>
        <v>111775.84</v>
      </c>
      <c r="AF373" s="10">
        <f>38333.33+73025.63</f>
        <v>111358.96</v>
      </c>
      <c r="AG373" s="10">
        <f>38333.33+73025.63</f>
        <v>111358.96</v>
      </c>
      <c r="AH373" s="10">
        <f>38333.34+73025.62</f>
        <v>111358.95999999999</v>
      </c>
      <c r="AI373" s="10">
        <f>38333.33+72608.75</f>
        <v>110942.08</v>
      </c>
      <c r="AJ373" s="10">
        <f>38333.33+72608.75</f>
        <v>110942.08</v>
      </c>
      <c r="AK373" s="10">
        <f>38333.34+72608.76</f>
        <v>110942.09999999999</v>
      </c>
      <c r="AL373" s="10">
        <f>38333.33+72191.88</f>
        <v>110525.21</v>
      </c>
      <c r="AM373" s="10">
        <f>38333.33+72191.88</f>
        <v>110525.21</v>
      </c>
      <c r="AN373" s="10">
        <f>38333.34+72191.87</f>
        <v>110525.20999999999</v>
      </c>
      <c r="AO373" s="55">
        <f>40000+71775</f>
        <v>111775</v>
      </c>
      <c r="AP373" s="10">
        <f>SUM(AD373:AO373)</f>
        <v>1333805.44</v>
      </c>
      <c r="AR373" s="33"/>
    </row>
    <row r="374" spans="1:44" ht="13.5" thickBot="1" x14ac:dyDescent="0.35">
      <c r="C374" s="11" t="s">
        <v>124</v>
      </c>
      <c r="D374" s="12">
        <f t="shared" ref="D374:O374" si="249">SUM(D371:D373)</f>
        <v>111810</v>
      </c>
      <c r="E374" s="12">
        <f t="shared" si="249"/>
        <v>111560.01</v>
      </c>
      <c r="F374" s="12">
        <f t="shared" si="249"/>
        <v>111179.38</v>
      </c>
      <c r="G374" s="12">
        <f t="shared" si="249"/>
        <v>111179.38</v>
      </c>
      <c r="H374" s="12">
        <f t="shared" si="249"/>
        <v>111179.37</v>
      </c>
      <c r="I374" s="12">
        <f t="shared" si="249"/>
        <v>110798.75</v>
      </c>
      <c r="J374" s="12">
        <f t="shared" si="249"/>
        <v>110798.75</v>
      </c>
      <c r="K374" s="12">
        <f t="shared" si="249"/>
        <v>110798.75</v>
      </c>
      <c r="L374" s="12">
        <f t="shared" si="249"/>
        <v>110418.13</v>
      </c>
      <c r="M374" s="12">
        <f t="shared" si="249"/>
        <v>110418.13</v>
      </c>
      <c r="N374" s="12">
        <f t="shared" si="249"/>
        <v>110418.12</v>
      </c>
      <c r="O374" s="12">
        <f t="shared" si="249"/>
        <v>111704.17</v>
      </c>
      <c r="P374" s="12">
        <f>SUM(P371:P373)</f>
        <v>1332262.94</v>
      </c>
      <c r="Q374" s="12">
        <f t="shared" ref="Q374:AB374" si="250">SUM(Q371:Q373)</f>
        <v>111954.17</v>
      </c>
      <c r="R374" s="12">
        <f t="shared" si="250"/>
        <v>111704.16</v>
      </c>
      <c r="S374" s="12">
        <f t="shared" si="250"/>
        <v>111305.42</v>
      </c>
      <c r="T374" s="12">
        <f t="shared" si="250"/>
        <v>111305.42</v>
      </c>
      <c r="U374" s="12">
        <f t="shared" si="250"/>
        <v>111305.41</v>
      </c>
      <c r="V374" s="12">
        <f t="shared" si="250"/>
        <v>110906.67</v>
      </c>
      <c r="W374" s="12">
        <f t="shared" si="250"/>
        <v>110906.67</v>
      </c>
      <c r="X374" s="12">
        <f t="shared" si="250"/>
        <v>110906.67</v>
      </c>
      <c r="Y374" s="12">
        <f t="shared" si="250"/>
        <v>110507.92</v>
      </c>
      <c r="Z374" s="12">
        <f t="shared" si="250"/>
        <v>110507.92</v>
      </c>
      <c r="AA374" s="12">
        <f t="shared" si="250"/>
        <v>110507.91</v>
      </c>
      <c r="AB374" s="12">
        <f t="shared" si="250"/>
        <v>111775.83</v>
      </c>
      <c r="AC374" s="12">
        <f>SUM(AC371:AC373)</f>
        <v>1333594.1700000002</v>
      </c>
      <c r="AD374" s="12">
        <f>SUM(AD371:AD373)</f>
        <v>112025.83</v>
      </c>
      <c r="AE374" s="12">
        <f>SUM(AE371:AE373)</f>
        <v>111775.84</v>
      </c>
      <c r="AF374" s="12">
        <f t="shared" ref="AF374:AO374" si="251">SUM(AF371:AF373)</f>
        <v>111358.96</v>
      </c>
      <c r="AG374" s="12">
        <f t="shared" si="251"/>
        <v>111358.96</v>
      </c>
      <c r="AH374" s="12">
        <f t="shared" si="251"/>
        <v>111358.95999999999</v>
      </c>
      <c r="AI374" s="12">
        <f t="shared" si="251"/>
        <v>110942.08</v>
      </c>
      <c r="AJ374" s="12">
        <f t="shared" si="251"/>
        <v>110942.08</v>
      </c>
      <c r="AK374" s="12">
        <f t="shared" si="251"/>
        <v>110942.09999999999</v>
      </c>
      <c r="AL374" s="12">
        <f t="shared" si="251"/>
        <v>110525.21</v>
      </c>
      <c r="AM374" s="12">
        <f t="shared" si="251"/>
        <v>110525.21</v>
      </c>
      <c r="AN374" s="12">
        <f t="shared" si="251"/>
        <v>110525.20999999999</v>
      </c>
      <c r="AO374" s="57">
        <f t="shared" si="251"/>
        <v>111775</v>
      </c>
      <c r="AP374" s="12">
        <f>SUM(AP371:AP373)</f>
        <v>1334055.44</v>
      </c>
    </row>
    <row r="375" spans="1:44" x14ac:dyDescent="0.3">
      <c r="C375" s="13"/>
    </row>
    <row r="376" spans="1:44" ht="15.5" x14ac:dyDescent="0.35">
      <c r="A376" s="1">
        <f>A370+1</f>
        <v>45</v>
      </c>
      <c r="B376" s="21"/>
      <c r="C376" s="22" t="s">
        <v>125</v>
      </c>
    </row>
    <row r="377" spans="1:44" x14ac:dyDescent="0.3">
      <c r="C377" s="6" t="s">
        <v>7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f>SUM(D377:O377)</f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0">
        <f>SUM(Q377:AB377)</f>
        <v>0</v>
      </c>
      <c r="AD377" s="10">
        <v>0</v>
      </c>
      <c r="AE377" s="10">
        <v>0</v>
      </c>
      <c r="AF377" s="10">
        <v>0</v>
      </c>
      <c r="AG377" s="10">
        <v>0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0</v>
      </c>
      <c r="AO377" s="55">
        <v>0</v>
      </c>
      <c r="AP377" s="10">
        <f>SUM(AD377:AO377)</f>
        <v>0</v>
      </c>
    </row>
    <row r="378" spans="1:44" x14ac:dyDescent="0.3">
      <c r="C378" s="6" t="s">
        <v>8</v>
      </c>
      <c r="D378" s="9">
        <v>250</v>
      </c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10">
        <f>SUM(D378:O378)</f>
        <v>250</v>
      </c>
      <c r="Q378" s="9">
        <v>250</v>
      </c>
      <c r="AC378" s="10">
        <f>SUM(Q378:AB378)</f>
        <v>250</v>
      </c>
      <c r="AD378" s="9">
        <v>250</v>
      </c>
      <c r="AE378" s="9"/>
      <c r="AF378" s="9"/>
      <c r="AG378" s="9"/>
      <c r="AH378" s="9"/>
      <c r="AI378" s="9"/>
      <c r="AJ378" s="9"/>
      <c r="AK378" s="9"/>
      <c r="AL378" s="9"/>
      <c r="AM378" s="9"/>
      <c r="AN378" s="23"/>
      <c r="AO378" s="56"/>
      <c r="AP378" s="10">
        <f>SUM(AD378:AO378)</f>
        <v>250</v>
      </c>
    </row>
    <row r="379" spans="1:44" ht="13.5" thickBot="1" x14ac:dyDescent="0.35">
      <c r="C379" s="6" t="s">
        <v>9</v>
      </c>
      <c r="D379" s="10">
        <v>52815.46</v>
      </c>
      <c r="E379" s="10">
        <v>52815.46</v>
      </c>
      <c r="F379" s="10">
        <v>52815.46</v>
      </c>
      <c r="G379" s="10">
        <v>52815.46</v>
      </c>
      <c r="H379" s="10">
        <v>52815.46</v>
      </c>
      <c r="I379" s="10">
        <v>52815.46</v>
      </c>
      <c r="J379" s="10">
        <v>52815.46</v>
      </c>
      <c r="K379" s="10">
        <v>52815.46</v>
      </c>
      <c r="L379" s="10">
        <v>52815.46</v>
      </c>
      <c r="M379" s="10">
        <v>52815.46</v>
      </c>
      <c r="N379" s="10">
        <v>52815.46</v>
      </c>
      <c r="O379" s="10">
        <v>52815.46</v>
      </c>
      <c r="P379" s="10">
        <f>SUM(D379:O379)</f>
        <v>633785.52</v>
      </c>
      <c r="Q379" s="10">
        <v>52815.46</v>
      </c>
      <c r="R379" s="10">
        <v>52815.46</v>
      </c>
      <c r="S379" s="10">
        <v>52815.46</v>
      </c>
      <c r="T379" s="10">
        <v>52815.46</v>
      </c>
      <c r="U379" s="10">
        <v>52815.46</v>
      </c>
      <c r="V379" s="10">
        <v>52815.46</v>
      </c>
      <c r="W379" s="10">
        <v>52815.46</v>
      </c>
      <c r="X379" s="10">
        <v>52815.46</v>
      </c>
      <c r="Y379" s="10">
        <v>52815.46</v>
      </c>
      <c r="Z379" s="10">
        <v>52815.46</v>
      </c>
      <c r="AA379" s="10">
        <v>52815.46</v>
      </c>
      <c r="AB379" s="10">
        <v>52815.46</v>
      </c>
      <c r="AC379" s="10">
        <f>SUM(Q379:AB379)</f>
        <v>633785.52</v>
      </c>
      <c r="AD379" s="10">
        <v>52815.46</v>
      </c>
      <c r="AE379" s="10">
        <v>52815.46</v>
      </c>
      <c r="AF379" s="10">
        <v>52815.46</v>
      </c>
      <c r="AG379" s="10">
        <v>52815.46</v>
      </c>
      <c r="AH379" s="10">
        <v>52815.46</v>
      </c>
      <c r="AI379" s="10">
        <v>52815.46</v>
      </c>
      <c r="AJ379" s="10">
        <v>52815.46</v>
      </c>
      <c r="AK379" s="10">
        <v>52815.46</v>
      </c>
      <c r="AL379" s="10">
        <v>52815.46</v>
      </c>
      <c r="AM379" s="10">
        <v>52815.46</v>
      </c>
      <c r="AN379" s="10">
        <v>52815.46</v>
      </c>
      <c r="AO379" s="55">
        <v>52815.46</v>
      </c>
      <c r="AP379" s="10">
        <f>SUM(AD379:AO379)</f>
        <v>633785.52</v>
      </c>
      <c r="AR379" s="33"/>
    </row>
    <row r="380" spans="1:44" ht="13.5" thickBot="1" x14ac:dyDescent="0.35">
      <c r="C380" s="11" t="s">
        <v>126</v>
      </c>
      <c r="D380" s="12">
        <f t="shared" ref="D380:O380" si="252">SUM(D377:D379)</f>
        <v>53065.46</v>
      </c>
      <c r="E380" s="12">
        <f t="shared" si="252"/>
        <v>52815.46</v>
      </c>
      <c r="F380" s="12">
        <f t="shared" si="252"/>
        <v>52815.46</v>
      </c>
      <c r="G380" s="12">
        <f t="shared" si="252"/>
        <v>52815.46</v>
      </c>
      <c r="H380" s="12">
        <f t="shared" si="252"/>
        <v>52815.46</v>
      </c>
      <c r="I380" s="12">
        <f t="shared" si="252"/>
        <v>52815.46</v>
      </c>
      <c r="J380" s="12">
        <f t="shared" si="252"/>
        <v>52815.46</v>
      </c>
      <c r="K380" s="12">
        <f t="shared" si="252"/>
        <v>52815.46</v>
      </c>
      <c r="L380" s="12">
        <f t="shared" si="252"/>
        <v>52815.46</v>
      </c>
      <c r="M380" s="12">
        <f t="shared" si="252"/>
        <v>52815.46</v>
      </c>
      <c r="N380" s="12">
        <f t="shared" si="252"/>
        <v>52815.46</v>
      </c>
      <c r="O380" s="12">
        <f t="shared" si="252"/>
        <v>52815.46</v>
      </c>
      <c r="P380" s="12">
        <f>SUM(P377:P379)</f>
        <v>634035.52</v>
      </c>
      <c r="Q380" s="12">
        <f t="shared" ref="Q380:AB380" si="253">SUM(Q377:Q379)</f>
        <v>53065.46</v>
      </c>
      <c r="R380" s="12">
        <f t="shared" si="253"/>
        <v>52815.46</v>
      </c>
      <c r="S380" s="12">
        <f t="shared" si="253"/>
        <v>52815.46</v>
      </c>
      <c r="T380" s="12">
        <f t="shared" si="253"/>
        <v>52815.46</v>
      </c>
      <c r="U380" s="12">
        <f t="shared" si="253"/>
        <v>52815.46</v>
      </c>
      <c r="V380" s="12">
        <f t="shared" si="253"/>
        <v>52815.46</v>
      </c>
      <c r="W380" s="12">
        <f t="shared" si="253"/>
        <v>52815.46</v>
      </c>
      <c r="X380" s="12">
        <f t="shared" si="253"/>
        <v>52815.46</v>
      </c>
      <c r="Y380" s="12">
        <f t="shared" si="253"/>
        <v>52815.46</v>
      </c>
      <c r="Z380" s="12">
        <f t="shared" si="253"/>
        <v>52815.46</v>
      </c>
      <c r="AA380" s="12">
        <f t="shared" si="253"/>
        <v>52815.46</v>
      </c>
      <c r="AB380" s="12">
        <f t="shared" si="253"/>
        <v>52815.46</v>
      </c>
      <c r="AC380" s="12">
        <f>SUM(AC377:AC379)</f>
        <v>634035.52</v>
      </c>
      <c r="AD380" s="12">
        <f>SUM(AD377:AD379)</f>
        <v>53065.46</v>
      </c>
      <c r="AE380" s="12">
        <f>SUM(AE377:AE379)</f>
        <v>52815.46</v>
      </c>
      <c r="AF380" s="12">
        <f t="shared" ref="AF380:AO380" si="254">SUM(AF377:AF379)</f>
        <v>52815.46</v>
      </c>
      <c r="AG380" s="12">
        <f t="shared" si="254"/>
        <v>52815.46</v>
      </c>
      <c r="AH380" s="12">
        <f t="shared" si="254"/>
        <v>52815.46</v>
      </c>
      <c r="AI380" s="12">
        <f t="shared" si="254"/>
        <v>52815.46</v>
      </c>
      <c r="AJ380" s="12">
        <f t="shared" si="254"/>
        <v>52815.46</v>
      </c>
      <c r="AK380" s="12">
        <f t="shared" si="254"/>
        <v>52815.46</v>
      </c>
      <c r="AL380" s="12">
        <f t="shared" si="254"/>
        <v>52815.46</v>
      </c>
      <c r="AM380" s="12">
        <f t="shared" si="254"/>
        <v>52815.46</v>
      </c>
      <c r="AN380" s="12">
        <f t="shared" si="254"/>
        <v>52815.46</v>
      </c>
      <c r="AO380" s="57">
        <f t="shared" si="254"/>
        <v>52815.46</v>
      </c>
      <c r="AP380" s="12">
        <f>SUM(AP377:AP379)</f>
        <v>634035.52</v>
      </c>
    </row>
    <row r="381" spans="1:44" x14ac:dyDescent="0.3">
      <c r="C381" s="13"/>
    </row>
    <row r="382" spans="1:44" ht="15.5" x14ac:dyDescent="0.35">
      <c r="B382" s="24" t="s">
        <v>5</v>
      </c>
      <c r="C382" s="8" t="s">
        <v>127</v>
      </c>
    </row>
    <row r="383" spans="1:44" x14ac:dyDescent="0.3">
      <c r="C383" s="6" t="s">
        <v>7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/>
      <c r="P383" s="10">
        <f>SUM(D383:O383)</f>
        <v>0</v>
      </c>
    </row>
    <row r="384" spans="1:44" x14ac:dyDescent="0.3">
      <c r="C384" s="6" t="s">
        <v>8</v>
      </c>
      <c r="D384" s="9">
        <v>250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10">
        <f>SUM(D384:O384)</f>
        <v>250</v>
      </c>
    </row>
    <row r="385" spans="2:16" ht="13.5" thickBot="1" x14ac:dyDescent="0.35">
      <c r="C385" s="6" t="s">
        <v>9</v>
      </c>
      <c r="D385" s="9">
        <f>25000+73961.25</f>
        <v>98961.25</v>
      </c>
      <c r="E385" s="9">
        <f t="shared" ref="E385:N385" si="255">25000+73961.25</f>
        <v>98961.25</v>
      </c>
      <c r="F385" s="9">
        <f t="shared" si="255"/>
        <v>98961.25</v>
      </c>
      <c r="G385" s="9">
        <f t="shared" si="255"/>
        <v>98961.25</v>
      </c>
      <c r="H385" s="9">
        <f t="shared" si="255"/>
        <v>98961.25</v>
      </c>
      <c r="I385" s="9">
        <f t="shared" si="255"/>
        <v>98961.25</v>
      </c>
      <c r="J385" s="9">
        <f t="shared" si="255"/>
        <v>98961.25</v>
      </c>
      <c r="K385" s="9">
        <f t="shared" si="255"/>
        <v>98961.25</v>
      </c>
      <c r="L385" s="9">
        <f t="shared" si="255"/>
        <v>98961.25</v>
      </c>
      <c r="M385" s="9">
        <f t="shared" si="255"/>
        <v>98961.25</v>
      </c>
      <c r="N385" s="9">
        <f t="shared" si="255"/>
        <v>98961.25</v>
      </c>
      <c r="O385" s="9"/>
      <c r="P385" s="10">
        <f>SUM(D385:O385)</f>
        <v>1088573.75</v>
      </c>
    </row>
    <row r="386" spans="2:16" ht="13.5" thickBot="1" x14ac:dyDescent="0.35">
      <c r="C386" s="11" t="s">
        <v>128</v>
      </c>
      <c r="D386" s="12">
        <f t="shared" ref="D386:O386" si="256">SUM(D383:D385)</f>
        <v>99211.25</v>
      </c>
      <c r="E386" s="12">
        <f t="shared" si="256"/>
        <v>98961.25</v>
      </c>
      <c r="F386" s="12">
        <f t="shared" si="256"/>
        <v>98961.25</v>
      </c>
      <c r="G386" s="12">
        <f t="shared" si="256"/>
        <v>98961.25</v>
      </c>
      <c r="H386" s="12">
        <f t="shared" si="256"/>
        <v>98961.25</v>
      </c>
      <c r="I386" s="12">
        <f t="shared" si="256"/>
        <v>98961.25</v>
      </c>
      <c r="J386" s="12">
        <f t="shared" si="256"/>
        <v>98961.25</v>
      </c>
      <c r="K386" s="12">
        <f t="shared" si="256"/>
        <v>98961.25</v>
      </c>
      <c r="L386" s="12">
        <f t="shared" si="256"/>
        <v>98961.25</v>
      </c>
      <c r="M386" s="12">
        <f t="shared" si="256"/>
        <v>98961.25</v>
      </c>
      <c r="N386" s="12">
        <f t="shared" si="256"/>
        <v>98961.25</v>
      </c>
      <c r="O386" s="12">
        <f t="shared" si="256"/>
        <v>0</v>
      </c>
      <c r="P386" s="12">
        <f>SUM(P383:P385)</f>
        <v>1088823.75</v>
      </c>
    </row>
    <row r="387" spans="2:16" x14ac:dyDescent="0.3">
      <c r="C387" s="13"/>
    </row>
    <row r="388" spans="2:16" ht="15.5" x14ac:dyDescent="0.35">
      <c r="B388" s="24" t="s">
        <v>5</v>
      </c>
      <c r="C388" s="8" t="s">
        <v>129</v>
      </c>
    </row>
    <row r="389" spans="2:16" x14ac:dyDescent="0.3">
      <c r="C389" s="6" t="s">
        <v>7</v>
      </c>
      <c r="D389" s="10">
        <v>0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/>
      <c r="P389" s="10">
        <f>SUM(D389:O389)</f>
        <v>0</v>
      </c>
    </row>
    <row r="390" spans="2:16" x14ac:dyDescent="0.3">
      <c r="C390" s="6" t="s">
        <v>8</v>
      </c>
      <c r="D390" s="9">
        <v>250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10">
        <f>SUM(D390:O390)</f>
        <v>250</v>
      </c>
    </row>
    <row r="391" spans="2:16" ht="13.5" thickBot="1" x14ac:dyDescent="0.35">
      <c r="C391" s="6" t="s">
        <v>9</v>
      </c>
      <c r="D391" s="9">
        <f>15416.67+44220</f>
        <v>59636.67</v>
      </c>
      <c r="E391" s="9">
        <f t="shared" ref="E391:N391" si="257">15416.67+44220</f>
        <v>59636.67</v>
      </c>
      <c r="F391" s="9">
        <f t="shared" si="257"/>
        <v>59636.67</v>
      </c>
      <c r="G391" s="9">
        <f t="shared" si="257"/>
        <v>59636.67</v>
      </c>
      <c r="H391" s="9">
        <f t="shared" si="257"/>
        <v>59636.67</v>
      </c>
      <c r="I391" s="9">
        <f t="shared" si="257"/>
        <v>59636.67</v>
      </c>
      <c r="J391" s="9">
        <f t="shared" si="257"/>
        <v>59636.67</v>
      </c>
      <c r="K391" s="9">
        <f t="shared" si="257"/>
        <v>59636.67</v>
      </c>
      <c r="L391" s="9">
        <f t="shared" si="257"/>
        <v>59636.67</v>
      </c>
      <c r="M391" s="9">
        <f t="shared" si="257"/>
        <v>59636.67</v>
      </c>
      <c r="N391" s="9">
        <f t="shared" si="257"/>
        <v>59636.67</v>
      </c>
      <c r="O391" s="9"/>
      <c r="P391" s="10">
        <f>SUM(D391:O391)</f>
        <v>656003.37</v>
      </c>
    </row>
    <row r="392" spans="2:16" ht="13.5" thickBot="1" x14ac:dyDescent="0.35">
      <c r="C392" s="11" t="s">
        <v>130</v>
      </c>
      <c r="D392" s="12">
        <f t="shared" ref="D392:O392" si="258">SUM(D389:D391)</f>
        <v>59886.67</v>
      </c>
      <c r="E392" s="12">
        <f t="shared" si="258"/>
        <v>59636.67</v>
      </c>
      <c r="F392" s="12">
        <f t="shared" si="258"/>
        <v>59636.67</v>
      </c>
      <c r="G392" s="12">
        <f t="shared" si="258"/>
        <v>59636.67</v>
      </c>
      <c r="H392" s="12">
        <f t="shared" si="258"/>
        <v>59636.67</v>
      </c>
      <c r="I392" s="12">
        <f t="shared" si="258"/>
        <v>59636.67</v>
      </c>
      <c r="J392" s="12">
        <f t="shared" si="258"/>
        <v>59636.67</v>
      </c>
      <c r="K392" s="12">
        <f t="shared" si="258"/>
        <v>59636.67</v>
      </c>
      <c r="L392" s="12">
        <f t="shared" si="258"/>
        <v>59636.67</v>
      </c>
      <c r="M392" s="12">
        <f t="shared" si="258"/>
        <v>59636.67</v>
      </c>
      <c r="N392" s="12">
        <f t="shared" si="258"/>
        <v>59636.67</v>
      </c>
      <c r="O392" s="12">
        <f t="shared" si="258"/>
        <v>0</v>
      </c>
      <c r="P392" s="12">
        <f>SUM(P389:P391)</f>
        <v>656253.37</v>
      </c>
    </row>
    <row r="393" spans="2:16" x14ac:dyDescent="0.3">
      <c r="C393" s="13"/>
    </row>
    <row r="394" spans="2:16" ht="15.5" x14ac:dyDescent="0.35">
      <c r="B394" s="24" t="s">
        <v>5</v>
      </c>
      <c r="C394" s="8" t="s">
        <v>131</v>
      </c>
    </row>
    <row r="395" spans="2:16" x14ac:dyDescent="0.3">
      <c r="C395" s="6" t="s">
        <v>7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/>
      <c r="P395" s="10">
        <f>SUM(D395:O395)</f>
        <v>0</v>
      </c>
    </row>
    <row r="396" spans="2:16" x14ac:dyDescent="0.3">
      <c r="C396" s="6" t="s">
        <v>8</v>
      </c>
      <c r="D396" s="9">
        <v>250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10">
        <f>SUM(D396:O396)</f>
        <v>250</v>
      </c>
    </row>
    <row r="397" spans="2:16" ht="13.5" thickBot="1" x14ac:dyDescent="0.35">
      <c r="C397" s="6" t="s">
        <v>9</v>
      </c>
      <c r="D397" s="9">
        <f>30000+86521.88</f>
        <v>116521.88</v>
      </c>
      <c r="E397" s="9">
        <f>30000+86521.88</f>
        <v>116521.88</v>
      </c>
      <c r="F397" s="9">
        <f t="shared" ref="F397:N397" si="259">30000+86521.88</f>
        <v>116521.88</v>
      </c>
      <c r="G397" s="9">
        <f t="shared" si="259"/>
        <v>116521.88</v>
      </c>
      <c r="H397" s="9">
        <f t="shared" si="259"/>
        <v>116521.88</v>
      </c>
      <c r="I397" s="9">
        <f>30000+86521.85</f>
        <v>116521.85</v>
      </c>
      <c r="J397" s="9">
        <f t="shared" si="259"/>
        <v>116521.88</v>
      </c>
      <c r="K397" s="9">
        <f t="shared" si="259"/>
        <v>116521.88</v>
      </c>
      <c r="L397" s="9">
        <f t="shared" si="259"/>
        <v>116521.88</v>
      </c>
      <c r="M397" s="9">
        <f t="shared" si="259"/>
        <v>116521.88</v>
      </c>
      <c r="N397" s="9">
        <f t="shared" si="259"/>
        <v>116521.88</v>
      </c>
      <c r="O397" s="9"/>
      <c r="P397" s="10">
        <f>SUM(D397:O397)</f>
        <v>1281740.6499999999</v>
      </c>
    </row>
    <row r="398" spans="2:16" ht="13.5" thickBot="1" x14ac:dyDescent="0.35">
      <c r="C398" s="11" t="s">
        <v>130</v>
      </c>
      <c r="D398" s="12">
        <f t="shared" ref="D398:O398" si="260">SUM(D395:D397)</f>
        <v>116771.88</v>
      </c>
      <c r="E398" s="12">
        <f t="shared" si="260"/>
        <v>116521.88</v>
      </c>
      <c r="F398" s="12">
        <f t="shared" si="260"/>
        <v>116521.88</v>
      </c>
      <c r="G398" s="12">
        <f t="shared" si="260"/>
        <v>116521.88</v>
      </c>
      <c r="H398" s="12">
        <f t="shared" si="260"/>
        <v>116521.88</v>
      </c>
      <c r="I398" s="12">
        <f t="shared" si="260"/>
        <v>116521.85</v>
      </c>
      <c r="J398" s="12">
        <f t="shared" si="260"/>
        <v>116521.88</v>
      </c>
      <c r="K398" s="12">
        <f t="shared" si="260"/>
        <v>116521.88</v>
      </c>
      <c r="L398" s="12">
        <f t="shared" si="260"/>
        <v>116521.88</v>
      </c>
      <c r="M398" s="12">
        <f t="shared" si="260"/>
        <v>116521.88</v>
      </c>
      <c r="N398" s="12">
        <f t="shared" si="260"/>
        <v>116521.88</v>
      </c>
      <c r="O398" s="12">
        <f t="shared" si="260"/>
        <v>0</v>
      </c>
      <c r="P398" s="12">
        <f>SUM(P395:P397)</f>
        <v>1281990.6499999999</v>
      </c>
    </row>
    <row r="399" spans="2:16" x14ac:dyDescent="0.3">
      <c r="C399" s="13"/>
    </row>
    <row r="400" spans="2:16" ht="15.5" x14ac:dyDescent="0.35">
      <c r="B400" s="24" t="s">
        <v>5</v>
      </c>
      <c r="C400" s="8" t="s">
        <v>132</v>
      </c>
    </row>
    <row r="401" spans="1:44" x14ac:dyDescent="0.3">
      <c r="C401" s="6" t="s">
        <v>7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/>
      <c r="P401" s="10">
        <f>SUM(D401:O401)</f>
        <v>0</v>
      </c>
    </row>
    <row r="402" spans="1:44" x14ac:dyDescent="0.3">
      <c r="C402" s="6" t="s">
        <v>8</v>
      </c>
      <c r="D402" s="9">
        <v>250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10">
        <f>SUM(D402:O402)</f>
        <v>250</v>
      </c>
    </row>
    <row r="403" spans="1:44" ht="13.5" thickBot="1" x14ac:dyDescent="0.35">
      <c r="C403" s="6" t="s">
        <v>9</v>
      </c>
      <c r="D403" s="9">
        <f>19166.67+54491.25</f>
        <v>73657.919999999998</v>
      </c>
      <c r="E403" s="9">
        <f t="shared" ref="E403:N403" si="261">19166.67+54491.25</f>
        <v>73657.919999999998</v>
      </c>
      <c r="F403" s="9">
        <f t="shared" si="261"/>
        <v>73657.919999999998</v>
      </c>
      <c r="G403" s="9">
        <f t="shared" si="261"/>
        <v>73657.919999999998</v>
      </c>
      <c r="H403" s="9">
        <f t="shared" si="261"/>
        <v>73657.919999999998</v>
      </c>
      <c r="I403" s="9">
        <f t="shared" si="261"/>
        <v>73657.919999999998</v>
      </c>
      <c r="J403" s="9">
        <f t="shared" si="261"/>
        <v>73657.919999999998</v>
      </c>
      <c r="K403" s="9">
        <f t="shared" si="261"/>
        <v>73657.919999999998</v>
      </c>
      <c r="L403" s="9">
        <f t="shared" si="261"/>
        <v>73657.919999999998</v>
      </c>
      <c r="M403" s="9">
        <f t="shared" si="261"/>
        <v>73657.919999999998</v>
      </c>
      <c r="N403" s="9">
        <f t="shared" si="261"/>
        <v>73657.919999999998</v>
      </c>
      <c r="O403" s="9"/>
      <c r="P403" s="10">
        <f>SUM(D403:O403)</f>
        <v>810237.12000000011</v>
      </c>
    </row>
    <row r="404" spans="1:44" ht="13.5" thickBot="1" x14ac:dyDescent="0.35">
      <c r="C404" s="11" t="s">
        <v>133</v>
      </c>
      <c r="D404" s="12">
        <f t="shared" ref="D404:O404" si="262">SUM(D401:D403)</f>
        <v>73907.92</v>
      </c>
      <c r="E404" s="12">
        <f t="shared" si="262"/>
        <v>73657.919999999998</v>
      </c>
      <c r="F404" s="12">
        <f t="shared" si="262"/>
        <v>73657.919999999998</v>
      </c>
      <c r="G404" s="12">
        <f t="shared" si="262"/>
        <v>73657.919999999998</v>
      </c>
      <c r="H404" s="12">
        <f t="shared" si="262"/>
        <v>73657.919999999998</v>
      </c>
      <c r="I404" s="12">
        <f t="shared" si="262"/>
        <v>73657.919999999998</v>
      </c>
      <c r="J404" s="12">
        <f t="shared" si="262"/>
        <v>73657.919999999998</v>
      </c>
      <c r="K404" s="12">
        <f t="shared" si="262"/>
        <v>73657.919999999998</v>
      </c>
      <c r="L404" s="12">
        <f t="shared" si="262"/>
        <v>73657.919999999998</v>
      </c>
      <c r="M404" s="12">
        <f t="shared" si="262"/>
        <v>73657.919999999998</v>
      </c>
      <c r="N404" s="12">
        <f t="shared" si="262"/>
        <v>73657.919999999998</v>
      </c>
      <c r="O404" s="12">
        <f t="shared" si="262"/>
        <v>0</v>
      </c>
      <c r="P404" s="12">
        <f>SUM(P401:P403)</f>
        <v>810487.12000000011</v>
      </c>
    </row>
    <row r="405" spans="1:44" x14ac:dyDescent="0.3">
      <c r="C405" s="13"/>
    </row>
    <row r="406" spans="1:44" ht="15.5" x14ac:dyDescent="0.35">
      <c r="B406" s="24" t="s">
        <v>5</v>
      </c>
      <c r="C406" s="8" t="s">
        <v>134</v>
      </c>
    </row>
    <row r="407" spans="1:44" x14ac:dyDescent="0.3">
      <c r="C407" s="6" t="s">
        <v>7</v>
      </c>
      <c r="D407" s="10">
        <v>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/>
      <c r="P407" s="10">
        <f>SUM(D407:O407)</f>
        <v>0</v>
      </c>
    </row>
    <row r="408" spans="1:44" x14ac:dyDescent="0.3">
      <c r="C408" s="6" t="s">
        <v>8</v>
      </c>
      <c r="D408" s="9">
        <v>250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10">
        <f>SUM(D408:O408)</f>
        <v>250</v>
      </c>
    </row>
    <row r="409" spans="1:44" ht="13.5" thickBot="1" x14ac:dyDescent="0.35">
      <c r="C409" s="6" t="s">
        <v>9</v>
      </c>
      <c r="D409" s="9">
        <f>17500+74270.21</f>
        <v>91770.21</v>
      </c>
      <c r="E409" s="9">
        <f t="shared" ref="E409:N409" si="263">17500+74270.21</f>
        <v>91770.21</v>
      </c>
      <c r="F409" s="9">
        <f t="shared" si="263"/>
        <v>91770.21</v>
      </c>
      <c r="G409" s="9">
        <f t="shared" si="263"/>
        <v>91770.21</v>
      </c>
      <c r="H409" s="9">
        <f t="shared" si="263"/>
        <v>91770.21</v>
      </c>
      <c r="I409" s="9">
        <f>17500+74270.2</f>
        <v>91770.2</v>
      </c>
      <c r="J409" s="9">
        <f t="shared" si="263"/>
        <v>91770.21</v>
      </c>
      <c r="K409" s="9">
        <f t="shared" si="263"/>
        <v>91770.21</v>
      </c>
      <c r="L409" s="9">
        <f t="shared" si="263"/>
        <v>91770.21</v>
      </c>
      <c r="M409" s="9">
        <f t="shared" si="263"/>
        <v>91770.21</v>
      </c>
      <c r="N409" s="9">
        <f t="shared" si="263"/>
        <v>91770.21</v>
      </c>
      <c r="O409" s="9"/>
      <c r="P409" s="10">
        <f>SUM(D409:O409)</f>
        <v>1009472.2999999998</v>
      </c>
    </row>
    <row r="410" spans="1:44" ht="13.5" thickBot="1" x14ac:dyDescent="0.35">
      <c r="C410" s="11" t="s">
        <v>133</v>
      </c>
      <c r="D410" s="12">
        <f t="shared" ref="D410:O410" si="264">SUM(D407:D409)</f>
        <v>92020.21</v>
      </c>
      <c r="E410" s="12">
        <f t="shared" si="264"/>
        <v>91770.21</v>
      </c>
      <c r="F410" s="12">
        <f t="shared" si="264"/>
        <v>91770.21</v>
      </c>
      <c r="G410" s="12">
        <f t="shared" si="264"/>
        <v>91770.21</v>
      </c>
      <c r="H410" s="12">
        <f t="shared" si="264"/>
        <v>91770.21</v>
      </c>
      <c r="I410" s="12">
        <f t="shared" si="264"/>
        <v>91770.2</v>
      </c>
      <c r="J410" s="12">
        <f t="shared" si="264"/>
        <v>91770.21</v>
      </c>
      <c r="K410" s="12">
        <f t="shared" si="264"/>
        <v>91770.21</v>
      </c>
      <c r="L410" s="12">
        <f t="shared" si="264"/>
        <v>91770.21</v>
      </c>
      <c r="M410" s="12">
        <f t="shared" si="264"/>
        <v>91770.21</v>
      </c>
      <c r="N410" s="12">
        <f t="shared" si="264"/>
        <v>91770.21</v>
      </c>
      <c r="O410" s="12">
        <f t="shared" si="264"/>
        <v>0</v>
      </c>
      <c r="P410" s="12">
        <f>SUM(P407:P409)</f>
        <v>1009722.2999999998</v>
      </c>
    </row>
    <row r="411" spans="1:44" x14ac:dyDescent="0.3">
      <c r="C411" s="13"/>
    </row>
    <row r="412" spans="1:44" ht="15.5" x14ac:dyDescent="0.35">
      <c r="A412" s="1">
        <f>A376+1</f>
        <v>46</v>
      </c>
      <c r="B412" s="21"/>
      <c r="C412" s="22" t="s">
        <v>135</v>
      </c>
    </row>
    <row r="413" spans="1:44" x14ac:dyDescent="0.3">
      <c r="C413" s="6" t="s">
        <v>7</v>
      </c>
      <c r="D413" s="9">
        <v>847.5</v>
      </c>
      <c r="E413" s="9">
        <v>847.5</v>
      </c>
      <c r="F413" s="9">
        <v>847.5</v>
      </c>
      <c r="G413" s="9">
        <v>847.5</v>
      </c>
      <c r="H413" s="9">
        <v>847.5</v>
      </c>
      <c r="I413" s="9">
        <v>847.5</v>
      </c>
      <c r="J413" s="9">
        <v>847.5</v>
      </c>
      <c r="K413" s="9">
        <v>847.5</v>
      </c>
      <c r="L413" s="9">
        <v>847.5</v>
      </c>
      <c r="M413" s="9">
        <v>847.5</v>
      </c>
      <c r="N413" s="9">
        <v>847.5</v>
      </c>
      <c r="O413" s="9">
        <v>847.5</v>
      </c>
      <c r="P413" s="10">
        <f>SUM(D413:O413)</f>
        <v>10170</v>
      </c>
      <c r="Q413" s="9">
        <v>835.42</v>
      </c>
      <c r="R413" s="9">
        <v>835.42</v>
      </c>
      <c r="S413" s="9">
        <v>835.42</v>
      </c>
      <c r="T413" s="9">
        <v>835.42</v>
      </c>
      <c r="U413" s="9">
        <v>835.42</v>
      </c>
      <c r="V413" s="9">
        <v>835.42</v>
      </c>
      <c r="W413" s="9">
        <v>835.42</v>
      </c>
      <c r="X413" s="9">
        <v>835.42</v>
      </c>
      <c r="Y413" s="9">
        <v>835.42</v>
      </c>
      <c r="Z413" s="9">
        <v>835.42</v>
      </c>
      <c r="AA413" s="9">
        <v>835.42</v>
      </c>
      <c r="AB413" s="9">
        <v>835.42</v>
      </c>
      <c r="AC413" s="10">
        <f>SUM(Q413:AB413)</f>
        <v>10025.039999999999</v>
      </c>
      <c r="AD413" s="10">
        <v>822.92</v>
      </c>
      <c r="AE413" s="10">
        <v>822.92</v>
      </c>
      <c r="AF413" s="10">
        <v>822.92</v>
      </c>
      <c r="AG413" s="10">
        <v>822.92</v>
      </c>
      <c r="AH413" s="10">
        <v>822.92</v>
      </c>
      <c r="AI413" s="10">
        <v>822.92</v>
      </c>
      <c r="AJ413" s="10">
        <v>822.92</v>
      </c>
      <c r="AK413" s="10">
        <v>822.92</v>
      </c>
      <c r="AL413" s="10">
        <v>822.92</v>
      </c>
      <c r="AM413" s="10">
        <v>822.92</v>
      </c>
      <c r="AN413" s="10">
        <v>822.92</v>
      </c>
      <c r="AO413" s="55">
        <v>822.92</v>
      </c>
      <c r="AP413" s="10">
        <f>SUM(AD413:AO413)</f>
        <v>9875.0399999999991</v>
      </c>
    </row>
    <row r="414" spans="1:44" x14ac:dyDescent="0.3">
      <c r="C414" s="6" t="s">
        <v>8</v>
      </c>
      <c r="D414" s="9">
        <v>250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10">
        <f>SUM(D414:O414)</f>
        <v>250</v>
      </c>
      <c r="Q414" s="9">
        <v>250</v>
      </c>
      <c r="AC414" s="10">
        <f>SUM(Q414:AB414)</f>
        <v>250</v>
      </c>
      <c r="AD414" s="9">
        <v>250</v>
      </c>
      <c r="AE414" s="9"/>
      <c r="AF414" s="9"/>
      <c r="AG414" s="9"/>
      <c r="AH414" s="9"/>
      <c r="AI414" s="9"/>
      <c r="AJ414" s="9"/>
      <c r="AK414" s="9"/>
      <c r="AL414" s="9"/>
      <c r="AM414" s="9"/>
      <c r="AN414" s="23"/>
      <c r="AO414" s="56"/>
      <c r="AP414" s="10">
        <f>SUM(AD414:AO414)</f>
        <v>250</v>
      </c>
    </row>
    <row r="415" spans="1:44" ht="13.5" thickBot="1" x14ac:dyDescent="0.35">
      <c r="C415" s="6" t="s">
        <v>9</v>
      </c>
      <c r="D415" s="10">
        <v>50856.26</v>
      </c>
      <c r="E415" s="10">
        <v>50856.26</v>
      </c>
      <c r="F415" s="10">
        <v>50856.26</v>
      </c>
      <c r="G415" s="10">
        <v>50856.26</v>
      </c>
      <c r="H415" s="10">
        <v>50856.26</v>
      </c>
      <c r="I415" s="10">
        <v>50856.26</v>
      </c>
      <c r="J415" s="10">
        <v>50856.26</v>
      </c>
      <c r="K415" s="10">
        <v>50856.26</v>
      </c>
      <c r="L415" s="10">
        <v>50856.26</v>
      </c>
      <c r="M415" s="10">
        <v>50856.26</v>
      </c>
      <c r="N415" s="10">
        <v>50856.26</v>
      </c>
      <c r="O415" s="9">
        <v>50910.42</v>
      </c>
      <c r="P415" s="10">
        <f>SUM(D415:O415)</f>
        <v>610329.28</v>
      </c>
      <c r="Q415" s="9">
        <v>50910.42</v>
      </c>
      <c r="R415" s="9">
        <v>50910.42</v>
      </c>
      <c r="S415" s="9">
        <v>50910.42</v>
      </c>
      <c r="T415" s="9">
        <v>50910.42</v>
      </c>
      <c r="U415" s="9">
        <v>50910.42</v>
      </c>
      <c r="V415" s="9">
        <v>50910.42</v>
      </c>
      <c r="W415" s="9">
        <v>50910.42</v>
      </c>
      <c r="X415" s="9">
        <v>50910.42</v>
      </c>
      <c r="Y415" s="9">
        <v>50910.42</v>
      </c>
      <c r="Z415" s="9">
        <v>50910.42</v>
      </c>
      <c r="AA415" s="9">
        <v>50910.42</v>
      </c>
      <c r="AB415" s="9">
        <v>50827.09</v>
      </c>
      <c r="AC415" s="10">
        <f>SUM(Q415:AB415)</f>
        <v>610841.70999999985</v>
      </c>
      <c r="AD415" s="9">
        <v>50827.09</v>
      </c>
      <c r="AE415" s="9">
        <v>50827.09</v>
      </c>
      <c r="AF415" s="9">
        <v>50827.09</v>
      </c>
      <c r="AG415" s="9">
        <v>50827.09</v>
      </c>
      <c r="AH415" s="9">
        <v>50827.09</v>
      </c>
      <c r="AI415" s="9">
        <v>50827.09</v>
      </c>
      <c r="AJ415" s="9">
        <v>50827.09</v>
      </c>
      <c r="AK415" s="9">
        <v>50827.09</v>
      </c>
      <c r="AL415" s="9">
        <v>50827.09</v>
      </c>
      <c r="AM415" s="9">
        <v>50827.09</v>
      </c>
      <c r="AN415" s="23">
        <v>50827.09</v>
      </c>
      <c r="AO415" s="55">
        <v>50727.09</v>
      </c>
      <c r="AP415" s="10">
        <f>SUM(AD415:AO415)</f>
        <v>609825.07999999984</v>
      </c>
      <c r="AR415" s="33"/>
    </row>
    <row r="416" spans="1:44" ht="13.5" thickBot="1" x14ac:dyDescent="0.35">
      <c r="C416" s="11" t="s">
        <v>136</v>
      </c>
      <c r="D416" s="12">
        <f t="shared" ref="D416:O416" si="265">SUM(D413:D415)</f>
        <v>51953.760000000002</v>
      </c>
      <c r="E416" s="12">
        <f t="shared" si="265"/>
        <v>51703.76</v>
      </c>
      <c r="F416" s="12">
        <f t="shared" si="265"/>
        <v>51703.76</v>
      </c>
      <c r="G416" s="12">
        <f t="shared" si="265"/>
        <v>51703.76</v>
      </c>
      <c r="H416" s="12">
        <f t="shared" si="265"/>
        <v>51703.76</v>
      </c>
      <c r="I416" s="12">
        <f t="shared" si="265"/>
        <v>51703.76</v>
      </c>
      <c r="J416" s="12">
        <f t="shared" si="265"/>
        <v>51703.76</v>
      </c>
      <c r="K416" s="12">
        <f t="shared" si="265"/>
        <v>51703.76</v>
      </c>
      <c r="L416" s="12">
        <f t="shared" si="265"/>
        <v>51703.76</v>
      </c>
      <c r="M416" s="12">
        <f t="shared" si="265"/>
        <v>51703.76</v>
      </c>
      <c r="N416" s="12">
        <f t="shared" si="265"/>
        <v>51703.76</v>
      </c>
      <c r="O416" s="12">
        <f t="shared" si="265"/>
        <v>51757.919999999998</v>
      </c>
      <c r="P416" s="12">
        <f>SUM(P413:P415)</f>
        <v>620749.28</v>
      </c>
      <c r="Q416" s="12">
        <f t="shared" ref="Q416:AB416" si="266">SUM(Q413:Q415)</f>
        <v>51995.839999999997</v>
      </c>
      <c r="R416" s="12">
        <f t="shared" si="266"/>
        <v>51745.84</v>
      </c>
      <c r="S416" s="12">
        <f t="shared" si="266"/>
        <v>51745.84</v>
      </c>
      <c r="T416" s="12">
        <f t="shared" si="266"/>
        <v>51745.84</v>
      </c>
      <c r="U416" s="12">
        <f t="shared" si="266"/>
        <v>51745.84</v>
      </c>
      <c r="V416" s="12">
        <f t="shared" si="266"/>
        <v>51745.84</v>
      </c>
      <c r="W416" s="12">
        <f t="shared" si="266"/>
        <v>51745.84</v>
      </c>
      <c r="X416" s="12">
        <f t="shared" si="266"/>
        <v>51745.84</v>
      </c>
      <c r="Y416" s="12">
        <f t="shared" si="266"/>
        <v>51745.84</v>
      </c>
      <c r="Z416" s="12">
        <f t="shared" si="266"/>
        <v>51745.84</v>
      </c>
      <c r="AA416" s="12">
        <f t="shared" si="266"/>
        <v>51745.84</v>
      </c>
      <c r="AB416" s="12">
        <f t="shared" si="266"/>
        <v>51662.509999999995</v>
      </c>
      <c r="AC416" s="12">
        <f>SUM(AC413:AC415)</f>
        <v>621116.74999999988</v>
      </c>
      <c r="AD416" s="12">
        <f>SUM(AD413:AD415)</f>
        <v>51900.009999999995</v>
      </c>
      <c r="AE416" s="12">
        <f>SUM(AE413:AE415)</f>
        <v>51650.009999999995</v>
      </c>
      <c r="AF416" s="12">
        <f t="shared" ref="AF416:AO416" si="267">SUM(AF413:AF415)</f>
        <v>51650.009999999995</v>
      </c>
      <c r="AG416" s="12">
        <f t="shared" si="267"/>
        <v>51650.009999999995</v>
      </c>
      <c r="AH416" s="12">
        <f t="shared" si="267"/>
        <v>51650.009999999995</v>
      </c>
      <c r="AI416" s="12">
        <f t="shared" si="267"/>
        <v>51650.009999999995</v>
      </c>
      <c r="AJ416" s="12">
        <f t="shared" si="267"/>
        <v>51650.009999999995</v>
      </c>
      <c r="AK416" s="12">
        <f t="shared" si="267"/>
        <v>51650.009999999995</v>
      </c>
      <c r="AL416" s="12">
        <f t="shared" si="267"/>
        <v>51650.009999999995</v>
      </c>
      <c r="AM416" s="12">
        <f t="shared" si="267"/>
        <v>51650.009999999995</v>
      </c>
      <c r="AN416" s="12">
        <f t="shared" si="267"/>
        <v>51650.009999999995</v>
      </c>
      <c r="AO416" s="57">
        <f t="shared" si="267"/>
        <v>51550.009999999995</v>
      </c>
      <c r="AP416" s="12">
        <f>SUM(AP413:AP415)</f>
        <v>619950.11999999988</v>
      </c>
    </row>
    <row r="417" spans="1:44" x14ac:dyDescent="0.3">
      <c r="C417" s="13"/>
    </row>
    <row r="418" spans="1:44" ht="15.5" x14ac:dyDescent="0.35">
      <c r="A418" s="1">
        <f>A412+1</f>
        <v>47</v>
      </c>
      <c r="B418" s="21"/>
      <c r="C418" s="22" t="s">
        <v>137</v>
      </c>
    </row>
    <row r="419" spans="1:44" x14ac:dyDescent="0.3">
      <c r="C419" s="6" t="s">
        <v>7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f>SUM(D419:O419)</f>
        <v>0</v>
      </c>
      <c r="Q419" s="10">
        <v>0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f>SUM(Q419:AB419)</f>
        <v>0</v>
      </c>
      <c r="AD419" s="10">
        <v>0</v>
      </c>
      <c r="AE419" s="10">
        <v>0</v>
      </c>
      <c r="AF419" s="10">
        <v>0</v>
      </c>
      <c r="AG419" s="10">
        <v>0</v>
      </c>
      <c r="AH419" s="10">
        <v>0</v>
      </c>
      <c r="AI419" s="10">
        <v>0</v>
      </c>
      <c r="AJ419" s="10">
        <v>0</v>
      </c>
      <c r="AK419" s="10">
        <v>0</v>
      </c>
      <c r="AL419" s="10">
        <v>0</v>
      </c>
      <c r="AM419" s="10">
        <v>0</v>
      </c>
      <c r="AN419" s="10">
        <v>0</v>
      </c>
      <c r="AO419" s="55">
        <v>0</v>
      </c>
      <c r="AP419" s="10">
        <f>SUM(AD419:AO419)</f>
        <v>0</v>
      </c>
    </row>
    <row r="420" spans="1:44" x14ac:dyDescent="0.3">
      <c r="C420" s="6" t="s">
        <v>8</v>
      </c>
      <c r="D420" s="9">
        <v>250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10">
        <f>SUM(D420:O420)</f>
        <v>250</v>
      </c>
      <c r="Q420" s="9">
        <v>250</v>
      </c>
      <c r="AC420" s="10">
        <f>SUM(Q420:AB420)</f>
        <v>250</v>
      </c>
      <c r="AD420" s="9">
        <v>250</v>
      </c>
      <c r="AE420" s="9"/>
      <c r="AF420" s="9"/>
      <c r="AG420" s="9"/>
      <c r="AH420" s="9"/>
      <c r="AI420" s="9"/>
      <c r="AJ420" s="9"/>
      <c r="AK420" s="9"/>
      <c r="AL420" s="9"/>
      <c r="AM420" s="9"/>
      <c r="AN420" s="23"/>
      <c r="AO420" s="56"/>
      <c r="AP420" s="10">
        <f>SUM(AD420:AO420)</f>
        <v>250</v>
      </c>
    </row>
    <row r="421" spans="1:44" ht="13.5" thickBot="1" x14ac:dyDescent="0.35">
      <c r="C421" s="6" t="s">
        <v>9</v>
      </c>
      <c r="D421" s="9">
        <v>30745.63</v>
      </c>
      <c r="E421" s="9">
        <v>30704.91</v>
      </c>
      <c r="F421" s="9">
        <v>30664.19</v>
      </c>
      <c r="G421" s="9">
        <v>30623.46</v>
      </c>
      <c r="H421" s="9">
        <v>30582.74</v>
      </c>
      <c r="I421" s="9">
        <v>30542.02</v>
      </c>
      <c r="J421" s="9">
        <v>30501.3</v>
      </c>
      <c r="K421" s="9">
        <v>30460.57</v>
      </c>
      <c r="L421" s="9">
        <v>30419.85</v>
      </c>
      <c r="M421" s="9">
        <v>30379.13</v>
      </c>
      <c r="N421" s="9">
        <v>30338.41</v>
      </c>
      <c r="O421" s="9">
        <v>30304.68</v>
      </c>
      <c r="P421" s="10">
        <f>SUM(D421:O421)</f>
        <v>366266.88999999996</v>
      </c>
      <c r="Q421" s="9">
        <v>30757.94</v>
      </c>
      <c r="R421" s="9">
        <v>30715.7</v>
      </c>
      <c r="S421" s="9">
        <v>30673.45</v>
      </c>
      <c r="T421" s="9">
        <v>30631.21</v>
      </c>
      <c r="U421" s="9">
        <v>30588.97</v>
      </c>
      <c r="V421" s="9">
        <v>30546.73</v>
      </c>
      <c r="W421" s="9">
        <v>30504.49</v>
      </c>
      <c r="X421" s="9">
        <v>30462.240000000002</v>
      </c>
      <c r="Y421" s="9">
        <v>30420</v>
      </c>
      <c r="Z421" s="9">
        <v>30377.759999999998</v>
      </c>
      <c r="AA421" s="9">
        <v>30335.52</v>
      </c>
      <c r="AB421" s="9">
        <v>30301.279999999999</v>
      </c>
      <c r="AC421" s="10">
        <f>SUM(Q421:AB421)</f>
        <v>366315.29000000004</v>
      </c>
      <c r="AD421" s="10">
        <v>30745.01</v>
      </c>
      <c r="AE421" s="10">
        <v>30701.27</v>
      </c>
      <c r="AF421" s="10">
        <v>30657.53</v>
      </c>
      <c r="AG421" s="10">
        <v>30613.79</v>
      </c>
      <c r="AH421" s="10">
        <v>30570.05</v>
      </c>
      <c r="AI421" s="10">
        <v>30526.31</v>
      </c>
      <c r="AJ421" s="10">
        <v>30482.560000000001</v>
      </c>
      <c r="AK421" s="10">
        <v>30438.82</v>
      </c>
      <c r="AL421" s="10">
        <v>30395.08</v>
      </c>
      <c r="AM421" s="10">
        <v>30351.34</v>
      </c>
      <c r="AN421" s="10">
        <v>30307.599999999999</v>
      </c>
      <c r="AO421" s="55">
        <v>30266.86</v>
      </c>
      <c r="AP421" s="10">
        <f>SUM(AD421:AO421)</f>
        <v>366056.22</v>
      </c>
      <c r="AR421" s="33"/>
    </row>
    <row r="422" spans="1:44" ht="13.5" thickBot="1" x14ac:dyDescent="0.35">
      <c r="C422" s="11" t="s">
        <v>138</v>
      </c>
      <c r="D422" s="12">
        <f t="shared" ref="D422:O422" si="268">SUM(D419:D421)</f>
        <v>30995.63</v>
      </c>
      <c r="E422" s="12">
        <f t="shared" si="268"/>
        <v>30704.91</v>
      </c>
      <c r="F422" s="12">
        <f t="shared" si="268"/>
        <v>30664.19</v>
      </c>
      <c r="G422" s="12">
        <f t="shared" si="268"/>
        <v>30623.46</v>
      </c>
      <c r="H422" s="12">
        <f t="shared" si="268"/>
        <v>30582.74</v>
      </c>
      <c r="I422" s="12">
        <f t="shared" si="268"/>
        <v>30542.02</v>
      </c>
      <c r="J422" s="12">
        <f t="shared" si="268"/>
        <v>30501.3</v>
      </c>
      <c r="K422" s="12">
        <f t="shared" si="268"/>
        <v>30460.57</v>
      </c>
      <c r="L422" s="12">
        <f t="shared" si="268"/>
        <v>30419.85</v>
      </c>
      <c r="M422" s="12">
        <f t="shared" si="268"/>
        <v>30379.13</v>
      </c>
      <c r="N422" s="12">
        <f t="shared" si="268"/>
        <v>30338.41</v>
      </c>
      <c r="O422" s="12">
        <f t="shared" si="268"/>
        <v>30304.68</v>
      </c>
      <c r="P422" s="12">
        <f>SUM(P419:P421)</f>
        <v>366516.88999999996</v>
      </c>
      <c r="Q422" s="12">
        <f t="shared" ref="Q422:AB422" si="269">SUM(Q419:Q421)</f>
        <v>31007.94</v>
      </c>
      <c r="R422" s="12">
        <f t="shared" si="269"/>
        <v>30715.7</v>
      </c>
      <c r="S422" s="12">
        <f t="shared" si="269"/>
        <v>30673.45</v>
      </c>
      <c r="T422" s="12">
        <f t="shared" si="269"/>
        <v>30631.21</v>
      </c>
      <c r="U422" s="12">
        <f t="shared" si="269"/>
        <v>30588.97</v>
      </c>
      <c r="V422" s="12">
        <f t="shared" si="269"/>
        <v>30546.73</v>
      </c>
      <c r="W422" s="12">
        <f t="shared" si="269"/>
        <v>30504.49</v>
      </c>
      <c r="X422" s="12">
        <f t="shared" si="269"/>
        <v>30462.240000000002</v>
      </c>
      <c r="Y422" s="12">
        <f t="shared" si="269"/>
        <v>30420</v>
      </c>
      <c r="Z422" s="12">
        <f t="shared" si="269"/>
        <v>30377.759999999998</v>
      </c>
      <c r="AA422" s="12">
        <f t="shared" si="269"/>
        <v>30335.52</v>
      </c>
      <c r="AB422" s="12">
        <f t="shared" si="269"/>
        <v>30301.279999999999</v>
      </c>
      <c r="AC422" s="12">
        <f>SUM(AC419:AC421)</f>
        <v>366565.29000000004</v>
      </c>
      <c r="AD422" s="12">
        <f>SUM(AD419:AD421)</f>
        <v>30995.01</v>
      </c>
      <c r="AE422" s="12">
        <f>SUM(AE419:AE421)</f>
        <v>30701.27</v>
      </c>
      <c r="AF422" s="12">
        <f t="shared" ref="AF422:AO422" si="270">SUM(AF419:AF421)</f>
        <v>30657.53</v>
      </c>
      <c r="AG422" s="12">
        <f t="shared" si="270"/>
        <v>30613.79</v>
      </c>
      <c r="AH422" s="12">
        <f t="shared" si="270"/>
        <v>30570.05</v>
      </c>
      <c r="AI422" s="12">
        <f t="shared" si="270"/>
        <v>30526.31</v>
      </c>
      <c r="AJ422" s="12">
        <f t="shared" si="270"/>
        <v>30482.560000000001</v>
      </c>
      <c r="AK422" s="12">
        <f t="shared" si="270"/>
        <v>30438.82</v>
      </c>
      <c r="AL422" s="12">
        <f t="shared" si="270"/>
        <v>30395.08</v>
      </c>
      <c r="AM422" s="12">
        <f t="shared" si="270"/>
        <v>30351.34</v>
      </c>
      <c r="AN422" s="12">
        <f t="shared" si="270"/>
        <v>30307.599999999999</v>
      </c>
      <c r="AO422" s="57">
        <f t="shared" si="270"/>
        <v>30266.86</v>
      </c>
      <c r="AP422" s="12">
        <f>SUM(AP419:AP421)</f>
        <v>366306.22</v>
      </c>
    </row>
    <row r="423" spans="1:44" x14ac:dyDescent="0.3">
      <c r="C423" s="13"/>
    </row>
    <row r="424" spans="1:44" ht="15.5" x14ac:dyDescent="0.35">
      <c r="A424" s="1">
        <f>A418+1</f>
        <v>48</v>
      </c>
      <c r="B424" s="21"/>
      <c r="C424" s="22" t="s">
        <v>139</v>
      </c>
    </row>
    <row r="425" spans="1:44" x14ac:dyDescent="0.3">
      <c r="C425" s="6" t="s">
        <v>7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f>SUM(D425:O425)</f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0">
        <f>SUM(Q425:AB425)</f>
        <v>0</v>
      </c>
      <c r="AD425" s="10">
        <v>0</v>
      </c>
      <c r="AE425" s="10">
        <v>0</v>
      </c>
      <c r="AF425" s="10">
        <v>0</v>
      </c>
      <c r="AG425" s="10">
        <v>0</v>
      </c>
      <c r="AH425" s="10">
        <v>0</v>
      </c>
      <c r="AI425" s="10">
        <v>0</v>
      </c>
      <c r="AJ425" s="10">
        <v>0</v>
      </c>
      <c r="AK425" s="10">
        <v>0</v>
      </c>
      <c r="AL425" s="10">
        <v>0</v>
      </c>
      <c r="AM425" s="10">
        <v>0</v>
      </c>
      <c r="AN425" s="10">
        <v>0</v>
      </c>
      <c r="AO425" s="55">
        <v>0</v>
      </c>
      <c r="AP425" s="10">
        <f>SUM(AD425:AO425)</f>
        <v>0</v>
      </c>
    </row>
    <row r="426" spans="1:44" x14ac:dyDescent="0.3">
      <c r="C426" s="6" t="s">
        <v>8</v>
      </c>
      <c r="D426" s="9">
        <v>250</v>
      </c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10">
        <f>SUM(D426:O426)</f>
        <v>250</v>
      </c>
      <c r="Q426" s="9">
        <v>250</v>
      </c>
      <c r="AC426" s="10">
        <f>SUM(Q426:AB426)</f>
        <v>250</v>
      </c>
      <c r="AD426" s="9">
        <v>250</v>
      </c>
      <c r="AE426" s="9"/>
      <c r="AF426" s="9"/>
      <c r="AG426" s="9"/>
      <c r="AH426" s="9"/>
      <c r="AI426" s="9"/>
      <c r="AJ426" s="9"/>
      <c r="AK426" s="9"/>
      <c r="AL426" s="9"/>
      <c r="AM426" s="9"/>
      <c r="AN426" s="23"/>
      <c r="AO426" s="56"/>
      <c r="AP426" s="10">
        <f>SUM(AD426:AO426)</f>
        <v>250</v>
      </c>
    </row>
    <row r="427" spans="1:44" ht="13.5" thickBot="1" x14ac:dyDescent="0.35">
      <c r="C427" s="6" t="s">
        <v>9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9">
        <v>95418.58</v>
      </c>
      <c r="J427" s="9">
        <v>95418.58</v>
      </c>
      <c r="K427" s="9">
        <v>95418.58</v>
      </c>
      <c r="L427" s="9">
        <v>95418.58</v>
      </c>
      <c r="M427" s="9">
        <v>95418.58</v>
      </c>
      <c r="N427" s="9">
        <v>95418.559999999998</v>
      </c>
      <c r="O427" s="9">
        <f>31666.67+120953.13</f>
        <v>152619.79999999999</v>
      </c>
      <c r="P427" s="10">
        <f>SUM(D427:O427)</f>
        <v>725131.26</v>
      </c>
      <c r="Q427" s="9">
        <f t="shared" ref="Q427:Z427" si="271">31666.67+120953.13</f>
        <v>152619.79999999999</v>
      </c>
      <c r="R427" s="9">
        <f t="shared" si="271"/>
        <v>152619.79999999999</v>
      </c>
      <c r="S427" s="9">
        <f t="shared" si="271"/>
        <v>152619.79999999999</v>
      </c>
      <c r="T427" s="9">
        <f t="shared" si="271"/>
        <v>152619.79999999999</v>
      </c>
      <c r="U427" s="9">
        <f>31666.67+120953.1</f>
        <v>152619.77000000002</v>
      </c>
      <c r="V427" s="9">
        <f t="shared" si="271"/>
        <v>152619.79999999999</v>
      </c>
      <c r="W427" s="9">
        <f t="shared" si="271"/>
        <v>152619.79999999999</v>
      </c>
      <c r="X427" s="9">
        <f t="shared" si="271"/>
        <v>152619.79999999999</v>
      </c>
      <c r="Y427" s="9">
        <f t="shared" si="271"/>
        <v>152619.79999999999</v>
      </c>
      <c r="Z427" s="9">
        <f t="shared" si="271"/>
        <v>152619.79999999999</v>
      </c>
      <c r="AA427" s="9">
        <f>31666.63+120953.1</f>
        <v>152619.73000000001</v>
      </c>
      <c r="AB427" s="9">
        <f>33750+119041.67</f>
        <v>152791.66999999998</v>
      </c>
      <c r="AC427" s="10">
        <f>SUM(Q427:AB427)</f>
        <v>1831609.37</v>
      </c>
      <c r="AD427" s="9">
        <f t="shared" ref="AD427:AM427" si="272">33750+119041.67</f>
        <v>152791.66999999998</v>
      </c>
      <c r="AE427" s="9">
        <f t="shared" si="272"/>
        <v>152791.66999999998</v>
      </c>
      <c r="AF427" s="9">
        <f t="shared" si="272"/>
        <v>152791.66999999998</v>
      </c>
      <c r="AG427" s="9">
        <f t="shared" si="272"/>
        <v>152791.66999999998</v>
      </c>
      <c r="AH427" s="9">
        <f>33750+119041.65</f>
        <v>152791.65</v>
      </c>
      <c r="AI427" s="9">
        <f t="shared" si="272"/>
        <v>152791.66999999998</v>
      </c>
      <c r="AJ427" s="9">
        <f t="shared" si="272"/>
        <v>152791.66999999998</v>
      </c>
      <c r="AK427" s="9">
        <f t="shared" si="272"/>
        <v>152791.66999999998</v>
      </c>
      <c r="AL427" s="9">
        <f t="shared" si="272"/>
        <v>152791.66999999998</v>
      </c>
      <c r="AM427" s="9">
        <f t="shared" si="272"/>
        <v>152791.66999999998</v>
      </c>
      <c r="AN427" s="23">
        <f>33750+119041.65</f>
        <v>152791.65</v>
      </c>
      <c r="AO427" s="55">
        <f>35416.67+117354.17</f>
        <v>152770.84</v>
      </c>
      <c r="AP427" s="10">
        <f>SUM(AD427:AO427)</f>
        <v>1833479.1699999997</v>
      </c>
      <c r="AR427" s="33"/>
    </row>
    <row r="428" spans="1:44" ht="13.5" thickBot="1" x14ac:dyDescent="0.35">
      <c r="C428" s="11" t="s">
        <v>140</v>
      </c>
      <c r="D428" s="12">
        <f t="shared" ref="D428:O428" si="273">SUM(D425:D427)</f>
        <v>250</v>
      </c>
      <c r="E428" s="12">
        <f t="shared" si="273"/>
        <v>0</v>
      </c>
      <c r="F428" s="12">
        <f t="shared" si="273"/>
        <v>0</v>
      </c>
      <c r="G428" s="12">
        <f t="shared" si="273"/>
        <v>0</v>
      </c>
      <c r="H428" s="12">
        <f t="shared" si="273"/>
        <v>0</v>
      </c>
      <c r="I428" s="12">
        <f t="shared" si="273"/>
        <v>95418.58</v>
      </c>
      <c r="J428" s="12">
        <f t="shared" si="273"/>
        <v>95418.58</v>
      </c>
      <c r="K428" s="12">
        <f t="shared" si="273"/>
        <v>95418.58</v>
      </c>
      <c r="L428" s="12">
        <f t="shared" si="273"/>
        <v>95418.58</v>
      </c>
      <c r="M428" s="12">
        <f t="shared" si="273"/>
        <v>95418.58</v>
      </c>
      <c r="N428" s="12">
        <f t="shared" si="273"/>
        <v>95418.559999999998</v>
      </c>
      <c r="O428" s="12">
        <f t="shared" si="273"/>
        <v>152619.79999999999</v>
      </c>
      <c r="P428" s="12">
        <f>SUM(P425:P427)</f>
        <v>725381.26</v>
      </c>
      <c r="Q428" s="12">
        <f t="shared" ref="Q428:AB428" si="274">SUM(Q425:Q427)</f>
        <v>152869.79999999999</v>
      </c>
      <c r="R428" s="12">
        <f t="shared" si="274"/>
        <v>152619.79999999999</v>
      </c>
      <c r="S428" s="12">
        <f t="shared" si="274"/>
        <v>152619.79999999999</v>
      </c>
      <c r="T428" s="12">
        <f t="shared" si="274"/>
        <v>152619.79999999999</v>
      </c>
      <c r="U428" s="12">
        <f t="shared" si="274"/>
        <v>152619.77000000002</v>
      </c>
      <c r="V428" s="12">
        <f t="shared" si="274"/>
        <v>152619.79999999999</v>
      </c>
      <c r="W428" s="12">
        <f t="shared" si="274"/>
        <v>152619.79999999999</v>
      </c>
      <c r="X428" s="12">
        <f t="shared" si="274"/>
        <v>152619.79999999999</v>
      </c>
      <c r="Y428" s="12">
        <f t="shared" si="274"/>
        <v>152619.79999999999</v>
      </c>
      <c r="Z428" s="12">
        <f t="shared" si="274"/>
        <v>152619.79999999999</v>
      </c>
      <c r="AA428" s="12">
        <f t="shared" si="274"/>
        <v>152619.73000000001</v>
      </c>
      <c r="AB428" s="12">
        <f t="shared" si="274"/>
        <v>152791.66999999998</v>
      </c>
      <c r="AC428" s="12">
        <f>SUM(AC425:AC427)</f>
        <v>1831859.37</v>
      </c>
      <c r="AD428" s="12">
        <f>SUM(AD425:AD427)</f>
        <v>153041.66999999998</v>
      </c>
      <c r="AE428" s="12">
        <f>SUM(AE425:AE427)</f>
        <v>152791.66999999998</v>
      </c>
      <c r="AF428" s="12">
        <f t="shared" ref="AF428:AO428" si="275">SUM(AF425:AF427)</f>
        <v>152791.66999999998</v>
      </c>
      <c r="AG428" s="12">
        <f t="shared" si="275"/>
        <v>152791.66999999998</v>
      </c>
      <c r="AH428" s="12">
        <f t="shared" si="275"/>
        <v>152791.65</v>
      </c>
      <c r="AI428" s="12">
        <f t="shared" si="275"/>
        <v>152791.66999999998</v>
      </c>
      <c r="AJ428" s="12">
        <f t="shared" si="275"/>
        <v>152791.66999999998</v>
      </c>
      <c r="AK428" s="12">
        <f t="shared" si="275"/>
        <v>152791.66999999998</v>
      </c>
      <c r="AL428" s="12">
        <f t="shared" si="275"/>
        <v>152791.66999999998</v>
      </c>
      <c r="AM428" s="12">
        <f t="shared" si="275"/>
        <v>152791.66999999998</v>
      </c>
      <c r="AN428" s="12">
        <f t="shared" si="275"/>
        <v>152791.65</v>
      </c>
      <c r="AO428" s="57">
        <f t="shared" si="275"/>
        <v>152770.84</v>
      </c>
      <c r="AP428" s="12">
        <f>SUM(AP425:AP427)</f>
        <v>1833729.1699999997</v>
      </c>
    </row>
    <row r="429" spans="1:44" x14ac:dyDescent="0.3">
      <c r="C429" s="13"/>
    </row>
    <row r="430" spans="1:44" ht="15.5" x14ac:dyDescent="0.35">
      <c r="A430" s="1">
        <f>A424+1</f>
        <v>49</v>
      </c>
      <c r="B430" s="26" t="s">
        <v>141</v>
      </c>
      <c r="C430" s="22" t="s">
        <v>142</v>
      </c>
    </row>
    <row r="431" spans="1:44" x14ac:dyDescent="0.3">
      <c r="C431" s="6" t="s">
        <v>7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f>SUM(D431:O431)</f>
        <v>0</v>
      </c>
      <c r="Q431" s="10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f>SUM(Q431:AB431)</f>
        <v>0</v>
      </c>
      <c r="AD431" s="10">
        <v>0</v>
      </c>
      <c r="AE431" s="10">
        <v>0</v>
      </c>
      <c r="AF431" s="10">
        <v>0</v>
      </c>
      <c r="AG431" s="10">
        <v>0</v>
      </c>
      <c r="AH431" s="10">
        <v>0</v>
      </c>
      <c r="AI431" s="10">
        <v>0</v>
      </c>
      <c r="AJ431" s="10">
        <v>0</v>
      </c>
      <c r="AK431" s="10">
        <v>0</v>
      </c>
      <c r="AL431" s="10">
        <v>0</v>
      </c>
      <c r="AM431" s="10">
        <v>0</v>
      </c>
      <c r="AN431" s="10">
        <v>0</v>
      </c>
      <c r="AO431" s="55">
        <v>0</v>
      </c>
      <c r="AP431" s="10">
        <f>SUM(AD431:AO431)</f>
        <v>0</v>
      </c>
    </row>
    <row r="432" spans="1:44" x14ac:dyDescent="0.3">
      <c r="C432" s="6" t="s">
        <v>8</v>
      </c>
      <c r="D432" s="9">
        <v>74.319999999999993</v>
      </c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10">
        <f>SUM(D432:O432)</f>
        <v>74.319999999999993</v>
      </c>
      <c r="Q432" s="9">
        <v>74.33</v>
      </c>
      <c r="AC432" s="10">
        <f>SUM(Q432:AB432)</f>
        <v>74.33</v>
      </c>
      <c r="AD432" s="9">
        <v>74.33</v>
      </c>
      <c r="AE432" s="9"/>
      <c r="AF432" s="9"/>
      <c r="AG432" s="9"/>
      <c r="AH432" s="9"/>
      <c r="AI432" s="9"/>
      <c r="AJ432" s="9"/>
      <c r="AK432" s="9"/>
      <c r="AL432" s="9"/>
      <c r="AM432" s="9"/>
      <c r="AN432" s="23"/>
      <c r="AO432" s="56"/>
      <c r="AP432" s="10">
        <f>SUM(AD432:AO432)</f>
        <v>74.33</v>
      </c>
    </row>
    <row r="433" spans="1:44" ht="13.5" thickBot="1" x14ac:dyDescent="0.35">
      <c r="C433" s="6" t="s">
        <v>9</v>
      </c>
      <c r="D433" s="10">
        <v>25701.81</v>
      </c>
      <c r="E433" s="9">
        <v>25701.8</v>
      </c>
      <c r="F433" s="9">
        <v>25701.8</v>
      </c>
      <c r="G433" s="10">
        <v>25701.81</v>
      </c>
      <c r="H433" s="10">
        <v>25701.81</v>
      </c>
      <c r="I433" s="9">
        <v>25701.8</v>
      </c>
      <c r="J433" s="9">
        <v>25701.8</v>
      </c>
      <c r="K433" s="10">
        <v>25701.81</v>
      </c>
      <c r="L433" s="9">
        <v>25701.8</v>
      </c>
      <c r="M433" s="10">
        <v>25701.81</v>
      </c>
      <c r="N433" s="10">
        <v>25701.81</v>
      </c>
      <c r="O433" s="10">
        <v>25701.81</v>
      </c>
      <c r="P433" s="10">
        <f>SUM(D433:O433)</f>
        <v>308421.67</v>
      </c>
      <c r="Q433" s="10">
        <v>25701.8</v>
      </c>
      <c r="R433" s="10">
        <v>25701.8</v>
      </c>
      <c r="S433" s="10">
        <v>20838.75</v>
      </c>
      <c r="T433" s="10">
        <v>20838.75</v>
      </c>
      <c r="U433" s="10">
        <v>20838.740000000002</v>
      </c>
      <c r="V433" s="10">
        <v>20838.75</v>
      </c>
      <c r="W433" s="10">
        <v>20838.75</v>
      </c>
      <c r="X433" s="10">
        <v>20838.150000000001</v>
      </c>
      <c r="Y433" s="10">
        <v>20838.740000000002</v>
      </c>
      <c r="Z433" s="10">
        <v>20838.740000000002</v>
      </c>
      <c r="AA433" s="10">
        <v>20838.75</v>
      </c>
      <c r="AB433" s="10">
        <v>20838.740000000002</v>
      </c>
      <c r="AC433" s="10">
        <f>SUM(Q433:AB433)</f>
        <v>259790.46</v>
      </c>
      <c r="AD433" s="10">
        <v>20838.740000000002</v>
      </c>
      <c r="AE433" s="10">
        <v>20838.75</v>
      </c>
      <c r="AF433" s="10">
        <v>20838.75</v>
      </c>
      <c r="AG433" s="10">
        <v>20838.740000000002</v>
      </c>
      <c r="AH433" s="10">
        <v>20838.75</v>
      </c>
      <c r="AI433" s="10">
        <v>20838.740000000002</v>
      </c>
      <c r="AJ433" s="10">
        <v>20838.740000000002</v>
      </c>
      <c r="AK433" s="10">
        <v>20838.75</v>
      </c>
      <c r="AL433" s="10">
        <v>20838.740000000002</v>
      </c>
      <c r="AM433" s="10">
        <v>20838.75</v>
      </c>
      <c r="AN433" s="10">
        <v>20838.75</v>
      </c>
      <c r="AO433" s="55">
        <v>20838.740000000002</v>
      </c>
      <c r="AP433" s="10">
        <f>SUM(AD433:AO433)</f>
        <v>250064.94</v>
      </c>
      <c r="AR433" s="33"/>
    </row>
    <row r="434" spans="1:44" ht="13.5" thickBot="1" x14ac:dyDescent="0.35">
      <c r="C434" s="11" t="s">
        <v>143</v>
      </c>
      <c r="D434" s="12">
        <f t="shared" ref="D434:O434" si="276">SUM(D431:D433)</f>
        <v>25776.13</v>
      </c>
      <c r="E434" s="12">
        <f t="shared" si="276"/>
        <v>25701.8</v>
      </c>
      <c r="F434" s="12">
        <f t="shared" si="276"/>
        <v>25701.8</v>
      </c>
      <c r="G434" s="12">
        <f t="shared" si="276"/>
        <v>25701.81</v>
      </c>
      <c r="H434" s="12">
        <f t="shared" si="276"/>
        <v>25701.81</v>
      </c>
      <c r="I434" s="12">
        <f t="shared" si="276"/>
        <v>25701.8</v>
      </c>
      <c r="J434" s="12">
        <f t="shared" si="276"/>
        <v>25701.8</v>
      </c>
      <c r="K434" s="12">
        <f t="shared" si="276"/>
        <v>25701.81</v>
      </c>
      <c r="L434" s="12">
        <f t="shared" si="276"/>
        <v>25701.8</v>
      </c>
      <c r="M434" s="12">
        <f t="shared" si="276"/>
        <v>25701.81</v>
      </c>
      <c r="N434" s="12">
        <f t="shared" si="276"/>
        <v>25701.81</v>
      </c>
      <c r="O434" s="12">
        <f t="shared" si="276"/>
        <v>25701.81</v>
      </c>
      <c r="P434" s="12">
        <f>SUM(P431:P433)</f>
        <v>308495.99</v>
      </c>
      <c r="Q434" s="12">
        <f t="shared" ref="Q434:AB434" si="277">SUM(Q431:Q433)</f>
        <v>25776.13</v>
      </c>
      <c r="R434" s="12">
        <f t="shared" si="277"/>
        <v>25701.8</v>
      </c>
      <c r="S434" s="12">
        <f t="shared" si="277"/>
        <v>20838.75</v>
      </c>
      <c r="T434" s="12">
        <f t="shared" si="277"/>
        <v>20838.75</v>
      </c>
      <c r="U434" s="12">
        <f t="shared" si="277"/>
        <v>20838.740000000002</v>
      </c>
      <c r="V434" s="12">
        <f t="shared" si="277"/>
        <v>20838.75</v>
      </c>
      <c r="W434" s="12">
        <f t="shared" si="277"/>
        <v>20838.75</v>
      </c>
      <c r="X434" s="12">
        <f t="shared" si="277"/>
        <v>20838.150000000001</v>
      </c>
      <c r="Y434" s="12">
        <f t="shared" si="277"/>
        <v>20838.740000000002</v>
      </c>
      <c r="Z434" s="12">
        <f t="shared" si="277"/>
        <v>20838.740000000002</v>
      </c>
      <c r="AA434" s="12">
        <f t="shared" si="277"/>
        <v>20838.75</v>
      </c>
      <c r="AB434" s="12">
        <f t="shared" si="277"/>
        <v>20838.740000000002</v>
      </c>
      <c r="AC434" s="12">
        <f>SUM(AC431:AC433)</f>
        <v>259864.78999999998</v>
      </c>
      <c r="AD434" s="12">
        <f>SUM(AD431:AD433)</f>
        <v>20913.070000000003</v>
      </c>
      <c r="AE434" s="12">
        <f>SUM(AE431:AE433)</f>
        <v>20838.75</v>
      </c>
      <c r="AF434" s="12">
        <f t="shared" ref="AF434:AO434" si="278">SUM(AF431:AF433)</f>
        <v>20838.75</v>
      </c>
      <c r="AG434" s="12">
        <f t="shared" si="278"/>
        <v>20838.740000000002</v>
      </c>
      <c r="AH434" s="12">
        <f t="shared" si="278"/>
        <v>20838.75</v>
      </c>
      <c r="AI434" s="12">
        <f t="shared" si="278"/>
        <v>20838.740000000002</v>
      </c>
      <c r="AJ434" s="12">
        <f t="shared" si="278"/>
        <v>20838.740000000002</v>
      </c>
      <c r="AK434" s="12">
        <f t="shared" si="278"/>
        <v>20838.75</v>
      </c>
      <c r="AL434" s="12">
        <f t="shared" si="278"/>
        <v>20838.740000000002</v>
      </c>
      <c r="AM434" s="12">
        <f t="shared" si="278"/>
        <v>20838.75</v>
      </c>
      <c r="AN434" s="12">
        <f t="shared" si="278"/>
        <v>20838.75</v>
      </c>
      <c r="AO434" s="57">
        <f t="shared" si="278"/>
        <v>20838.740000000002</v>
      </c>
      <c r="AP434" s="12">
        <f>SUM(AP431:AP433)</f>
        <v>250139.27</v>
      </c>
    </row>
    <row r="435" spans="1:44" x14ac:dyDescent="0.3">
      <c r="C435" s="13"/>
    </row>
    <row r="436" spans="1:44" ht="15.5" x14ac:dyDescent="0.35">
      <c r="A436" s="1">
        <f>A430</f>
        <v>49</v>
      </c>
      <c r="B436" s="26" t="s">
        <v>144</v>
      </c>
      <c r="C436" s="22" t="s">
        <v>145</v>
      </c>
    </row>
    <row r="437" spans="1:44" x14ac:dyDescent="0.3">
      <c r="C437" s="6" t="s">
        <v>7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f>SUM(D437:O437)</f>
        <v>0</v>
      </c>
      <c r="Q437" s="10">
        <v>0</v>
      </c>
      <c r="R437" s="10">
        <v>0</v>
      </c>
      <c r="S437" s="10">
        <v>0</v>
      </c>
      <c r="T437" s="10"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f>SUM(Q437:AB437)</f>
        <v>0</v>
      </c>
      <c r="AD437" s="10">
        <v>0</v>
      </c>
      <c r="AE437" s="10">
        <v>0</v>
      </c>
      <c r="AF437" s="10">
        <v>0</v>
      </c>
      <c r="AG437" s="10">
        <v>0</v>
      </c>
      <c r="AH437" s="10">
        <v>0</v>
      </c>
      <c r="AI437" s="10">
        <v>0</v>
      </c>
      <c r="AJ437" s="10">
        <v>0</v>
      </c>
      <c r="AK437" s="10">
        <v>0</v>
      </c>
      <c r="AL437" s="10">
        <v>0</v>
      </c>
      <c r="AM437" s="10">
        <v>0</v>
      </c>
      <c r="AN437" s="10">
        <v>0</v>
      </c>
      <c r="AO437" s="55">
        <v>0</v>
      </c>
      <c r="AP437" s="10">
        <f>SUM(AD437:AO437)</f>
        <v>0</v>
      </c>
    </row>
    <row r="438" spans="1:44" x14ac:dyDescent="0.3">
      <c r="C438" s="6" t="s">
        <v>8</v>
      </c>
      <c r="D438" s="9">
        <v>77.7</v>
      </c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10">
        <f>SUM(D438:O438)</f>
        <v>77.7</v>
      </c>
      <c r="Q438" s="9">
        <v>77.7</v>
      </c>
      <c r="AC438" s="10">
        <f>SUM(Q438:AB438)</f>
        <v>77.7</v>
      </c>
      <c r="AD438" s="9">
        <v>77.7</v>
      </c>
      <c r="AE438" s="9"/>
      <c r="AF438" s="9"/>
      <c r="AG438" s="9"/>
      <c r="AH438" s="9"/>
      <c r="AI438" s="9"/>
      <c r="AJ438" s="9"/>
      <c r="AK438" s="9"/>
      <c r="AL438" s="9"/>
      <c r="AM438" s="9"/>
      <c r="AN438" s="23"/>
      <c r="AO438" s="56"/>
      <c r="AP438" s="10">
        <f>SUM(AD438:AO438)</f>
        <v>77.7</v>
      </c>
    </row>
    <row r="439" spans="1:44" ht="13.5" thickBot="1" x14ac:dyDescent="0.35">
      <c r="C439" s="6" t="s">
        <v>9</v>
      </c>
      <c r="D439" s="10">
        <v>26868.89</v>
      </c>
      <c r="E439" s="10">
        <v>26868.89</v>
      </c>
      <c r="F439" s="10">
        <v>26868.89</v>
      </c>
      <c r="G439" s="10">
        <v>26868.89</v>
      </c>
      <c r="H439" s="10">
        <v>26868.89</v>
      </c>
      <c r="I439" s="10">
        <v>26868.89</v>
      </c>
      <c r="J439" s="10">
        <v>26868.89</v>
      </c>
      <c r="K439" s="10">
        <v>26868.89</v>
      </c>
      <c r="L439" s="10">
        <v>26868.89</v>
      </c>
      <c r="M439" s="10">
        <v>26868.89</v>
      </c>
      <c r="N439" s="10">
        <v>26868.880000000001</v>
      </c>
      <c r="O439" s="10">
        <v>26868.89</v>
      </c>
      <c r="P439" s="10">
        <f>SUM(D439:O439)</f>
        <v>322426.6700000001</v>
      </c>
      <c r="Q439" s="10">
        <v>26868.89</v>
      </c>
      <c r="R439" s="10">
        <v>26868.89</v>
      </c>
      <c r="S439" s="10">
        <v>21785</v>
      </c>
      <c r="T439" s="10">
        <v>21785</v>
      </c>
      <c r="U439" s="10">
        <v>21785.01</v>
      </c>
      <c r="V439" s="10">
        <v>21785</v>
      </c>
      <c r="W439" s="10">
        <v>21785</v>
      </c>
      <c r="X439" s="10">
        <v>21784.39</v>
      </c>
      <c r="Y439" s="10">
        <v>21785.01</v>
      </c>
      <c r="Z439" s="10">
        <v>21785.01</v>
      </c>
      <c r="AA439" s="10">
        <v>21785</v>
      </c>
      <c r="AB439" s="10">
        <v>21785.01</v>
      </c>
      <c r="AC439" s="10">
        <f>SUM(Q439:AB439)</f>
        <v>271587.21000000002</v>
      </c>
      <c r="AD439" s="10">
        <v>21785</v>
      </c>
      <c r="AE439" s="10">
        <v>21785.01</v>
      </c>
      <c r="AF439" s="10">
        <v>21785.01</v>
      </c>
      <c r="AG439" s="10">
        <v>21785</v>
      </c>
      <c r="AH439" s="10">
        <v>21785.01</v>
      </c>
      <c r="AI439" s="10">
        <v>21785</v>
      </c>
      <c r="AJ439" s="10">
        <v>21785</v>
      </c>
      <c r="AK439" s="10">
        <v>21785.01</v>
      </c>
      <c r="AL439" s="10">
        <v>21785</v>
      </c>
      <c r="AM439" s="10">
        <v>21785.01</v>
      </c>
      <c r="AN439" s="10">
        <v>21785.01</v>
      </c>
      <c r="AO439" s="55">
        <v>21785</v>
      </c>
      <c r="AP439" s="10">
        <f>SUM(AD439:AO439)</f>
        <v>261420.06</v>
      </c>
      <c r="AR439" s="33"/>
    </row>
    <row r="440" spans="1:44" ht="13.5" thickBot="1" x14ac:dyDescent="0.35">
      <c r="C440" s="11" t="s">
        <v>146</v>
      </c>
      <c r="D440" s="12">
        <f t="shared" ref="D440:O440" si="279">SUM(D437:D439)</f>
        <v>26946.59</v>
      </c>
      <c r="E440" s="12">
        <f t="shared" si="279"/>
        <v>26868.89</v>
      </c>
      <c r="F440" s="12">
        <f t="shared" si="279"/>
        <v>26868.89</v>
      </c>
      <c r="G440" s="12">
        <f t="shared" si="279"/>
        <v>26868.89</v>
      </c>
      <c r="H440" s="12">
        <f t="shared" si="279"/>
        <v>26868.89</v>
      </c>
      <c r="I440" s="12">
        <f t="shared" si="279"/>
        <v>26868.89</v>
      </c>
      <c r="J440" s="12">
        <f t="shared" si="279"/>
        <v>26868.89</v>
      </c>
      <c r="K440" s="12">
        <f t="shared" si="279"/>
        <v>26868.89</v>
      </c>
      <c r="L440" s="12">
        <f t="shared" si="279"/>
        <v>26868.89</v>
      </c>
      <c r="M440" s="12">
        <f t="shared" si="279"/>
        <v>26868.89</v>
      </c>
      <c r="N440" s="12">
        <f t="shared" si="279"/>
        <v>26868.880000000001</v>
      </c>
      <c r="O440" s="12">
        <f t="shared" si="279"/>
        <v>26868.89</v>
      </c>
      <c r="P440" s="12">
        <f>SUM(P437:P439)</f>
        <v>322504.37000000011</v>
      </c>
      <c r="Q440" s="12">
        <f t="shared" ref="Q440:AB440" si="280">SUM(Q437:Q439)</f>
        <v>26946.59</v>
      </c>
      <c r="R440" s="12">
        <f t="shared" si="280"/>
        <v>26868.89</v>
      </c>
      <c r="S440" s="12">
        <f t="shared" si="280"/>
        <v>21785</v>
      </c>
      <c r="T440" s="12">
        <f t="shared" si="280"/>
        <v>21785</v>
      </c>
      <c r="U440" s="12">
        <f t="shared" si="280"/>
        <v>21785.01</v>
      </c>
      <c r="V440" s="12">
        <f t="shared" si="280"/>
        <v>21785</v>
      </c>
      <c r="W440" s="12">
        <f t="shared" si="280"/>
        <v>21785</v>
      </c>
      <c r="X440" s="12">
        <f t="shared" si="280"/>
        <v>21784.39</v>
      </c>
      <c r="Y440" s="12">
        <f t="shared" si="280"/>
        <v>21785.01</v>
      </c>
      <c r="Z440" s="12">
        <f t="shared" si="280"/>
        <v>21785.01</v>
      </c>
      <c r="AA440" s="12">
        <f t="shared" si="280"/>
        <v>21785</v>
      </c>
      <c r="AB440" s="12">
        <f t="shared" si="280"/>
        <v>21785.01</v>
      </c>
      <c r="AC440" s="12">
        <f>SUM(AC437:AC439)</f>
        <v>271664.91000000003</v>
      </c>
      <c r="AD440" s="12">
        <f>SUM(AD437:AD439)</f>
        <v>21862.7</v>
      </c>
      <c r="AE440" s="12">
        <f>SUM(AE437:AE439)</f>
        <v>21785.01</v>
      </c>
      <c r="AF440" s="12">
        <f t="shared" ref="AF440:AO440" si="281">SUM(AF437:AF439)</f>
        <v>21785.01</v>
      </c>
      <c r="AG440" s="12">
        <f t="shared" si="281"/>
        <v>21785</v>
      </c>
      <c r="AH440" s="12">
        <f t="shared" si="281"/>
        <v>21785.01</v>
      </c>
      <c r="AI440" s="12">
        <f t="shared" si="281"/>
        <v>21785</v>
      </c>
      <c r="AJ440" s="12">
        <f t="shared" si="281"/>
        <v>21785</v>
      </c>
      <c r="AK440" s="12">
        <f t="shared" si="281"/>
        <v>21785.01</v>
      </c>
      <c r="AL440" s="12">
        <f t="shared" si="281"/>
        <v>21785</v>
      </c>
      <c r="AM440" s="12">
        <f t="shared" si="281"/>
        <v>21785.01</v>
      </c>
      <c r="AN440" s="12">
        <f t="shared" si="281"/>
        <v>21785.01</v>
      </c>
      <c r="AO440" s="57">
        <f t="shared" si="281"/>
        <v>21785</v>
      </c>
      <c r="AP440" s="12">
        <f>SUM(AP437:AP439)</f>
        <v>261497.76</v>
      </c>
    </row>
    <row r="441" spans="1:44" x14ac:dyDescent="0.3">
      <c r="C441" s="13"/>
    </row>
    <row r="442" spans="1:44" ht="15.5" x14ac:dyDescent="0.35">
      <c r="A442" s="1">
        <f>A430</f>
        <v>49</v>
      </c>
      <c r="B442" s="26" t="s">
        <v>147</v>
      </c>
      <c r="C442" s="22" t="s">
        <v>148</v>
      </c>
    </row>
    <row r="443" spans="1:44" x14ac:dyDescent="0.3">
      <c r="C443" s="6" t="s">
        <v>7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f>SUM(D443:O443)</f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f>SUM(Q443:AB443)</f>
        <v>0</v>
      </c>
      <c r="AD443" s="10">
        <v>0</v>
      </c>
      <c r="AE443" s="10">
        <v>0</v>
      </c>
      <c r="AF443" s="10">
        <v>0</v>
      </c>
      <c r="AG443" s="10">
        <v>0</v>
      </c>
      <c r="AH443" s="10">
        <v>0</v>
      </c>
      <c r="AI443" s="10">
        <v>0</v>
      </c>
      <c r="AJ443" s="10">
        <v>0</v>
      </c>
      <c r="AK443" s="10">
        <v>0</v>
      </c>
      <c r="AL443" s="10">
        <v>0</v>
      </c>
      <c r="AM443" s="10">
        <v>0</v>
      </c>
      <c r="AN443" s="10">
        <v>0</v>
      </c>
      <c r="AO443" s="55">
        <v>0</v>
      </c>
      <c r="AP443" s="10">
        <f>SUM(AD443:AO443)</f>
        <v>0</v>
      </c>
    </row>
    <row r="444" spans="1:44" x14ac:dyDescent="0.3">
      <c r="C444" s="6" t="s">
        <v>8</v>
      </c>
      <c r="D444" s="9">
        <v>97.98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10">
        <f>SUM(D444:O444)</f>
        <v>97.98</v>
      </c>
      <c r="Q444" s="9">
        <v>97.97</v>
      </c>
      <c r="AC444" s="10">
        <f>SUM(Q444:AB444)</f>
        <v>97.97</v>
      </c>
      <c r="AD444" s="9">
        <v>97.97</v>
      </c>
      <c r="AE444" s="9"/>
      <c r="AF444" s="9"/>
      <c r="AG444" s="9"/>
      <c r="AH444" s="9"/>
      <c r="AI444" s="9"/>
      <c r="AJ444" s="9"/>
      <c r="AK444" s="9"/>
      <c r="AL444" s="9"/>
      <c r="AM444" s="9"/>
      <c r="AN444" s="23"/>
      <c r="AO444" s="56"/>
      <c r="AP444" s="10">
        <f>SUM(AD444:AO444)</f>
        <v>97.97</v>
      </c>
    </row>
    <row r="445" spans="1:44" ht="13.5" thickBot="1" x14ac:dyDescent="0.35">
      <c r="C445" s="6" t="s">
        <v>9</v>
      </c>
      <c r="D445" s="10">
        <v>33880.04</v>
      </c>
      <c r="E445" s="9">
        <v>33880.050000000003</v>
      </c>
      <c r="F445" s="9">
        <v>33880.050000000003</v>
      </c>
      <c r="G445" s="10">
        <v>33880.04</v>
      </c>
      <c r="H445" s="10">
        <v>33880.04</v>
      </c>
      <c r="I445" s="10">
        <v>33880.04</v>
      </c>
      <c r="J445" s="10">
        <v>33880.04</v>
      </c>
      <c r="K445" s="9">
        <v>33880.050000000003</v>
      </c>
      <c r="L445" s="9">
        <v>33880.050000000003</v>
      </c>
      <c r="M445" s="10">
        <v>33880.04</v>
      </c>
      <c r="N445" s="9">
        <v>33880.050000000003</v>
      </c>
      <c r="O445" s="10">
        <v>33880.04</v>
      </c>
      <c r="P445" s="10">
        <f>SUM(D445:O445)</f>
        <v>406560.52999999997</v>
      </c>
      <c r="Q445" s="10">
        <v>33880.050000000003</v>
      </c>
      <c r="R445" s="10">
        <v>33880.04</v>
      </c>
      <c r="S445" s="10">
        <v>27469.57</v>
      </c>
      <c r="T445" s="10">
        <v>27469.57</v>
      </c>
      <c r="U445" s="10">
        <v>27469.58</v>
      </c>
      <c r="V445" s="10">
        <v>27469.57</v>
      </c>
      <c r="W445" s="10">
        <v>27469.57</v>
      </c>
      <c r="X445" s="10">
        <v>27468.79</v>
      </c>
      <c r="Y445" s="10">
        <v>27469.58</v>
      </c>
      <c r="Z445" s="10">
        <v>27469.58</v>
      </c>
      <c r="AA445" s="10">
        <v>27469.57</v>
      </c>
      <c r="AB445" s="10">
        <v>27469.58</v>
      </c>
      <c r="AC445" s="10">
        <f>SUM(Q445:AB445)</f>
        <v>342455.05000000005</v>
      </c>
      <c r="AD445" s="10">
        <v>27469.58</v>
      </c>
      <c r="AE445" s="10">
        <v>27469.57</v>
      </c>
      <c r="AF445" s="10">
        <v>27469.57</v>
      </c>
      <c r="AG445" s="10">
        <v>27469.58</v>
      </c>
      <c r="AH445" s="10">
        <v>27469.57</v>
      </c>
      <c r="AI445" s="10">
        <v>27469.58</v>
      </c>
      <c r="AJ445" s="10">
        <v>27469.58</v>
      </c>
      <c r="AK445" s="10">
        <v>27469.57</v>
      </c>
      <c r="AL445" s="10">
        <v>27469.58</v>
      </c>
      <c r="AM445" s="10">
        <v>27469.57</v>
      </c>
      <c r="AN445" s="10">
        <v>27469.57</v>
      </c>
      <c r="AO445" s="55">
        <v>27469.58</v>
      </c>
      <c r="AP445" s="10">
        <f>SUM(AD445:AO445)</f>
        <v>329634.90000000008</v>
      </c>
      <c r="AR445" s="33"/>
    </row>
    <row r="446" spans="1:44" ht="13.5" thickBot="1" x14ac:dyDescent="0.35">
      <c r="C446" s="11" t="s">
        <v>149</v>
      </c>
      <c r="D446" s="12">
        <f t="shared" ref="D446:O446" si="282">SUM(D443:D445)</f>
        <v>33978.020000000004</v>
      </c>
      <c r="E446" s="12">
        <f t="shared" si="282"/>
        <v>33880.050000000003</v>
      </c>
      <c r="F446" s="12">
        <f t="shared" si="282"/>
        <v>33880.050000000003</v>
      </c>
      <c r="G446" s="12">
        <f t="shared" si="282"/>
        <v>33880.04</v>
      </c>
      <c r="H446" s="12">
        <f t="shared" si="282"/>
        <v>33880.04</v>
      </c>
      <c r="I446" s="12">
        <f t="shared" si="282"/>
        <v>33880.04</v>
      </c>
      <c r="J446" s="12">
        <f t="shared" si="282"/>
        <v>33880.04</v>
      </c>
      <c r="K446" s="12">
        <f t="shared" si="282"/>
        <v>33880.050000000003</v>
      </c>
      <c r="L446" s="12">
        <f t="shared" si="282"/>
        <v>33880.050000000003</v>
      </c>
      <c r="M446" s="12">
        <f t="shared" si="282"/>
        <v>33880.04</v>
      </c>
      <c r="N446" s="12">
        <f t="shared" si="282"/>
        <v>33880.050000000003</v>
      </c>
      <c r="O446" s="12">
        <f t="shared" si="282"/>
        <v>33880.04</v>
      </c>
      <c r="P446" s="12">
        <f>SUM(P443:P445)</f>
        <v>406658.50999999995</v>
      </c>
      <c r="Q446" s="12">
        <f t="shared" ref="Q446:AB446" si="283">SUM(Q443:Q445)</f>
        <v>33978.020000000004</v>
      </c>
      <c r="R446" s="12">
        <f t="shared" si="283"/>
        <v>33880.04</v>
      </c>
      <c r="S446" s="12">
        <f t="shared" si="283"/>
        <v>27469.57</v>
      </c>
      <c r="T446" s="12">
        <f t="shared" si="283"/>
        <v>27469.57</v>
      </c>
      <c r="U446" s="12">
        <f t="shared" si="283"/>
        <v>27469.58</v>
      </c>
      <c r="V446" s="12">
        <f t="shared" si="283"/>
        <v>27469.57</v>
      </c>
      <c r="W446" s="12">
        <f t="shared" si="283"/>
        <v>27469.57</v>
      </c>
      <c r="X446" s="12">
        <f t="shared" si="283"/>
        <v>27468.79</v>
      </c>
      <c r="Y446" s="12">
        <f t="shared" si="283"/>
        <v>27469.58</v>
      </c>
      <c r="Z446" s="12">
        <f t="shared" si="283"/>
        <v>27469.58</v>
      </c>
      <c r="AA446" s="12">
        <f t="shared" si="283"/>
        <v>27469.57</v>
      </c>
      <c r="AB446" s="12">
        <f t="shared" si="283"/>
        <v>27469.58</v>
      </c>
      <c r="AC446" s="12">
        <f>SUM(AC443:AC445)</f>
        <v>342553.02</v>
      </c>
      <c r="AD446" s="12">
        <f>SUM(AD443:AD445)</f>
        <v>27567.550000000003</v>
      </c>
      <c r="AE446" s="12">
        <f>SUM(AE443:AE445)</f>
        <v>27469.57</v>
      </c>
      <c r="AF446" s="12">
        <f t="shared" ref="AF446:AO446" si="284">SUM(AF443:AF445)</f>
        <v>27469.57</v>
      </c>
      <c r="AG446" s="12">
        <f t="shared" si="284"/>
        <v>27469.58</v>
      </c>
      <c r="AH446" s="12">
        <f t="shared" si="284"/>
        <v>27469.57</v>
      </c>
      <c r="AI446" s="12">
        <f t="shared" si="284"/>
        <v>27469.58</v>
      </c>
      <c r="AJ446" s="12">
        <f t="shared" si="284"/>
        <v>27469.58</v>
      </c>
      <c r="AK446" s="12">
        <f t="shared" si="284"/>
        <v>27469.57</v>
      </c>
      <c r="AL446" s="12">
        <f t="shared" si="284"/>
        <v>27469.58</v>
      </c>
      <c r="AM446" s="12">
        <f t="shared" si="284"/>
        <v>27469.57</v>
      </c>
      <c r="AN446" s="12">
        <f t="shared" si="284"/>
        <v>27469.57</v>
      </c>
      <c r="AO446" s="57">
        <f t="shared" si="284"/>
        <v>27469.58</v>
      </c>
      <c r="AP446" s="12">
        <f>SUM(AP443:AP445)</f>
        <v>329732.87000000005</v>
      </c>
    </row>
    <row r="447" spans="1:44" x14ac:dyDescent="0.3">
      <c r="C447" s="13"/>
    </row>
    <row r="448" spans="1:44" ht="15.5" x14ac:dyDescent="0.35">
      <c r="A448" s="1">
        <f>A430+1</f>
        <v>50</v>
      </c>
      <c r="B448" s="26"/>
      <c r="C448" s="22" t="s">
        <v>150</v>
      </c>
    </row>
    <row r="449" spans="1:44" x14ac:dyDescent="0.3">
      <c r="C449" s="6" t="s">
        <v>7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f>SUM(D449:O449)</f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0</v>
      </c>
      <c r="AA449" s="10">
        <v>0</v>
      </c>
      <c r="AB449" s="10">
        <v>0</v>
      </c>
      <c r="AC449" s="10">
        <f>SUM(Q449:AB449)</f>
        <v>0</v>
      </c>
      <c r="AD449" s="10">
        <v>0</v>
      </c>
      <c r="AE449" s="10">
        <v>0</v>
      </c>
      <c r="AF449" s="10">
        <v>0</v>
      </c>
      <c r="AG449" s="10">
        <v>0</v>
      </c>
      <c r="AH449" s="10">
        <v>0</v>
      </c>
      <c r="AI449" s="10">
        <v>0</v>
      </c>
      <c r="AJ449" s="10">
        <v>0</v>
      </c>
      <c r="AK449" s="10">
        <v>0</v>
      </c>
      <c r="AL449" s="10">
        <v>0</v>
      </c>
      <c r="AM449" s="10">
        <v>0</v>
      </c>
      <c r="AN449" s="10">
        <v>0</v>
      </c>
      <c r="AO449" s="55">
        <v>0</v>
      </c>
      <c r="AP449" s="10">
        <f>SUM(AD449:AO449)</f>
        <v>0</v>
      </c>
    </row>
    <row r="450" spans="1:44" x14ac:dyDescent="0.3">
      <c r="C450" s="6" t="s">
        <v>8</v>
      </c>
      <c r="D450" s="9">
        <v>250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10">
        <f>SUM(D450:O450)</f>
        <v>250</v>
      </c>
      <c r="Q450" s="9">
        <v>250</v>
      </c>
      <c r="AC450" s="10">
        <f>SUM(Q450:AB450)</f>
        <v>250</v>
      </c>
      <c r="AD450" s="9">
        <v>250</v>
      </c>
      <c r="AE450" s="9"/>
      <c r="AF450" s="9"/>
      <c r="AG450" s="9"/>
      <c r="AH450" s="9"/>
      <c r="AI450" s="9"/>
      <c r="AJ450" s="9"/>
      <c r="AK450" s="9"/>
      <c r="AL450" s="9"/>
      <c r="AM450" s="9"/>
      <c r="AN450" s="23"/>
      <c r="AO450" s="56"/>
      <c r="AP450" s="10">
        <f>SUM(AD450:AO450)</f>
        <v>250</v>
      </c>
    </row>
    <row r="451" spans="1:44" ht="13.5" thickBot="1" x14ac:dyDescent="0.35">
      <c r="C451" s="6" t="s">
        <v>9</v>
      </c>
      <c r="D451" s="9">
        <v>17523.79</v>
      </c>
      <c r="E451" s="10">
        <v>17523.8</v>
      </c>
      <c r="F451" s="9">
        <v>17523.79</v>
      </c>
      <c r="G451" s="10">
        <v>17523.8</v>
      </c>
      <c r="H451" s="9">
        <v>17523.79</v>
      </c>
      <c r="I451" s="10">
        <v>17523.8</v>
      </c>
      <c r="J451" s="10">
        <v>17523.8</v>
      </c>
      <c r="K451" s="9">
        <v>17523.79</v>
      </c>
      <c r="L451" s="10">
        <v>17523.8</v>
      </c>
      <c r="M451" s="10">
        <v>17523.8</v>
      </c>
      <c r="N451" s="10">
        <v>17523.8</v>
      </c>
      <c r="O451" s="10">
        <v>17523.8</v>
      </c>
      <c r="P451" s="10">
        <f>SUM(D451:O451)</f>
        <v>210285.55999999997</v>
      </c>
      <c r="Q451" s="10">
        <v>17523.8</v>
      </c>
      <c r="R451" s="10">
        <v>17523.8</v>
      </c>
      <c r="S451" s="9">
        <v>23366</v>
      </c>
      <c r="T451" s="9">
        <v>23366</v>
      </c>
      <c r="U451" s="9">
        <v>23366</v>
      </c>
      <c r="V451" s="9">
        <v>23366</v>
      </c>
      <c r="W451" s="9">
        <v>23366</v>
      </c>
      <c r="X451" s="9">
        <v>23367</v>
      </c>
      <c r="Y451" s="9">
        <v>23366</v>
      </c>
      <c r="Z451" s="9">
        <v>23366</v>
      </c>
      <c r="AA451" s="9">
        <v>23366</v>
      </c>
      <c r="AB451" s="9">
        <v>23366</v>
      </c>
      <c r="AC451" s="10">
        <f>SUM(Q451:AB451)</f>
        <v>268708.59999999998</v>
      </c>
      <c r="AD451" s="9">
        <v>23366</v>
      </c>
      <c r="AE451" s="9">
        <v>23366</v>
      </c>
      <c r="AF451" s="9">
        <v>23366</v>
      </c>
      <c r="AG451" s="9">
        <v>23366</v>
      </c>
      <c r="AH451" s="9">
        <v>23366</v>
      </c>
      <c r="AI451" s="9">
        <v>23366</v>
      </c>
      <c r="AJ451" s="9">
        <v>23366</v>
      </c>
      <c r="AK451" s="9">
        <v>23366</v>
      </c>
      <c r="AL451" s="9">
        <v>23366</v>
      </c>
      <c r="AM451" s="9">
        <v>23366</v>
      </c>
      <c r="AN451" s="23">
        <v>23366</v>
      </c>
      <c r="AO451" s="56">
        <v>23366</v>
      </c>
      <c r="AP451" s="10">
        <f>SUM(AD451:AO451)</f>
        <v>280392</v>
      </c>
      <c r="AR451" s="33"/>
    </row>
    <row r="452" spans="1:44" ht="13.5" thickBot="1" x14ac:dyDescent="0.35">
      <c r="C452" s="11" t="s">
        <v>151</v>
      </c>
      <c r="D452" s="12">
        <f t="shared" ref="D452:O452" si="285">SUM(D449:D451)</f>
        <v>17773.79</v>
      </c>
      <c r="E452" s="12">
        <f t="shared" si="285"/>
        <v>17523.8</v>
      </c>
      <c r="F452" s="12">
        <f t="shared" si="285"/>
        <v>17523.79</v>
      </c>
      <c r="G452" s="12">
        <f t="shared" si="285"/>
        <v>17523.8</v>
      </c>
      <c r="H452" s="12">
        <f t="shared" si="285"/>
        <v>17523.79</v>
      </c>
      <c r="I452" s="12">
        <f t="shared" si="285"/>
        <v>17523.8</v>
      </c>
      <c r="J452" s="12">
        <f t="shared" si="285"/>
        <v>17523.8</v>
      </c>
      <c r="K452" s="12">
        <f t="shared" si="285"/>
        <v>17523.79</v>
      </c>
      <c r="L452" s="12">
        <f t="shared" si="285"/>
        <v>17523.8</v>
      </c>
      <c r="M452" s="12">
        <f t="shared" si="285"/>
        <v>17523.8</v>
      </c>
      <c r="N452" s="12">
        <f t="shared" si="285"/>
        <v>17523.8</v>
      </c>
      <c r="O452" s="12">
        <f t="shared" si="285"/>
        <v>17523.8</v>
      </c>
      <c r="P452" s="12">
        <f>SUM(P449:P451)</f>
        <v>210535.55999999997</v>
      </c>
      <c r="Q452" s="12">
        <f t="shared" ref="Q452:AB452" si="286">SUM(Q449:Q451)</f>
        <v>17773.8</v>
      </c>
      <c r="R452" s="12">
        <f t="shared" si="286"/>
        <v>17523.8</v>
      </c>
      <c r="S452" s="12">
        <f t="shared" si="286"/>
        <v>23366</v>
      </c>
      <c r="T452" s="12">
        <f t="shared" si="286"/>
        <v>23366</v>
      </c>
      <c r="U452" s="12">
        <f t="shared" si="286"/>
        <v>23366</v>
      </c>
      <c r="V452" s="12">
        <f t="shared" si="286"/>
        <v>23366</v>
      </c>
      <c r="W452" s="12">
        <f t="shared" si="286"/>
        <v>23366</v>
      </c>
      <c r="X452" s="12">
        <f t="shared" si="286"/>
        <v>23367</v>
      </c>
      <c r="Y452" s="12">
        <f t="shared" si="286"/>
        <v>23366</v>
      </c>
      <c r="Z452" s="12">
        <f t="shared" si="286"/>
        <v>23366</v>
      </c>
      <c r="AA452" s="12">
        <f t="shared" si="286"/>
        <v>23366</v>
      </c>
      <c r="AB452" s="12">
        <f t="shared" si="286"/>
        <v>23366</v>
      </c>
      <c r="AC452" s="12">
        <f>SUM(AC449:AC451)</f>
        <v>268958.59999999998</v>
      </c>
      <c r="AD452" s="12">
        <f>SUM(AD449:AD451)</f>
        <v>23616</v>
      </c>
      <c r="AE452" s="12">
        <f>SUM(AE449:AE451)</f>
        <v>23366</v>
      </c>
      <c r="AF452" s="12">
        <f t="shared" ref="AF452:AO452" si="287">SUM(AF449:AF451)</f>
        <v>23366</v>
      </c>
      <c r="AG452" s="12">
        <f t="shared" si="287"/>
        <v>23366</v>
      </c>
      <c r="AH452" s="12">
        <f t="shared" si="287"/>
        <v>23366</v>
      </c>
      <c r="AI452" s="12">
        <f t="shared" si="287"/>
        <v>23366</v>
      </c>
      <c r="AJ452" s="12">
        <f t="shared" si="287"/>
        <v>23366</v>
      </c>
      <c r="AK452" s="12">
        <f t="shared" si="287"/>
        <v>23366</v>
      </c>
      <c r="AL452" s="12">
        <f t="shared" si="287"/>
        <v>23366</v>
      </c>
      <c r="AM452" s="12">
        <f t="shared" si="287"/>
        <v>23366</v>
      </c>
      <c r="AN452" s="12">
        <f t="shared" si="287"/>
        <v>23366</v>
      </c>
      <c r="AO452" s="57">
        <f t="shared" si="287"/>
        <v>23366</v>
      </c>
      <c r="AP452" s="12">
        <f>SUM(AP449:AP451)</f>
        <v>280642</v>
      </c>
    </row>
    <row r="453" spans="1:44" x14ac:dyDescent="0.3">
      <c r="C453" s="13"/>
    </row>
    <row r="454" spans="1:44" ht="15.5" x14ac:dyDescent="0.35">
      <c r="A454" s="1">
        <f>A448+1</f>
        <v>51</v>
      </c>
      <c r="B454" s="26"/>
      <c r="C454" s="22" t="s">
        <v>152</v>
      </c>
    </row>
    <row r="455" spans="1:44" x14ac:dyDescent="0.3">
      <c r="C455" s="6" t="s">
        <v>7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f>SUM(D455:O455)</f>
        <v>0</v>
      </c>
      <c r="Q455" s="10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f>SUM(Q455:AB455)</f>
        <v>0</v>
      </c>
      <c r="AD455" s="10">
        <v>0</v>
      </c>
      <c r="AE455" s="10">
        <v>0</v>
      </c>
      <c r="AF455" s="10">
        <v>0</v>
      </c>
      <c r="AG455" s="10">
        <v>0</v>
      </c>
      <c r="AH455" s="10">
        <v>0</v>
      </c>
      <c r="AI455" s="10">
        <v>0</v>
      </c>
      <c r="AJ455" s="10">
        <v>0</v>
      </c>
      <c r="AK455" s="10">
        <v>0</v>
      </c>
      <c r="AL455" s="10">
        <v>0</v>
      </c>
      <c r="AM455" s="10">
        <v>0</v>
      </c>
      <c r="AN455" s="10">
        <v>0</v>
      </c>
      <c r="AO455" s="55">
        <v>0</v>
      </c>
      <c r="AP455" s="10">
        <f>SUM(AD455:AO455)</f>
        <v>0</v>
      </c>
    </row>
    <row r="456" spans="1:44" x14ac:dyDescent="0.3">
      <c r="C456" s="6" t="s">
        <v>8</v>
      </c>
      <c r="D456" s="9">
        <v>250</v>
      </c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10">
        <f>SUM(D456:O456)</f>
        <v>250</v>
      </c>
      <c r="Q456" s="9">
        <v>250</v>
      </c>
      <c r="AC456" s="10">
        <f>SUM(Q456:AB456)</f>
        <v>250</v>
      </c>
      <c r="AD456" s="9">
        <v>250</v>
      </c>
      <c r="AE456" s="9"/>
      <c r="AF456" s="9"/>
      <c r="AG456" s="9"/>
      <c r="AH456" s="9"/>
      <c r="AI456" s="9"/>
      <c r="AJ456" s="9"/>
      <c r="AK456" s="9"/>
      <c r="AL456" s="9"/>
      <c r="AM456" s="9"/>
      <c r="AN456" s="23"/>
      <c r="AO456" s="56"/>
      <c r="AP456" s="10">
        <f>SUM(AD456:AO456)</f>
        <v>250</v>
      </c>
    </row>
    <row r="457" spans="1:44" ht="13.5" thickBot="1" x14ac:dyDescent="0.35">
      <c r="C457" s="6" t="s">
        <v>9</v>
      </c>
      <c r="D457" s="9">
        <v>12850.79</v>
      </c>
      <c r="E457" s="9">
        <v>12850.79</v>
      </c>
      <c r="F457" s="9">
        <v>12850.79</v>
      </c>
      <c r="G457" s="9">
        <v>12850.79</v>
      </c>
      <c r="H457" s="9">
        <v>12850.79</v>
      </c>
      <c r="I457" s="9">
        <v>12850.79</v>
      </c>
      <c r="J457" s="9">
        <v>12850.79</v>
      </c>
      <c r="K457" s="10">
        <v>12850.78</v>
      </c>
      <c r="L457" s="10">
        <v>12850.78</v>
      </c>
      <c r="M457" s="10">
        <v>12850.78</v>
      </c>
      <c r="N457" s="9">
        <v>12850.79</v>
      </c>
      <c r="O457" s="9">
        <v>12850.79</v>
      </c>
      <c r="P457" s="10">
        <f>SUM(D457:O457)</f>
        <v>154209.45000000001</v>
      </c>
      <c r="Q457" s="9">
        <v>12850.79</v>
      </c>
      <c r="R457" s="9">
        <v>12850.79</v>
      </c>
      <c r="S457" s="9">
        <v>23366</v>
      </c>
      <c r="T457" s="9">
        <v>23366</v>
      </c>
      <c r="U457" s="9">
        <v>23366</v>
      </c>
      <c r="V457" s="9">
        <v>23366</v>
      </c>
      <c r="W457" s="9">
        <v>23366</v>
      </c>
      <c r="X457" s="9">
        <v>23367</v>
      </c>
      <c r="Y457" s="9">
        <v>23366</v>
      </c>
      <c r="Z457" s="9">
        <v>23366</v>
      </c>
      <c r="AA457" s="9">
        <v>23366</v>
      </c>
      <c r="AB457" s="9">
        <v>23366</v>
      </c>
      <c r="AC457" s="10">
        <f>SUM(Q457:AB457)</f>
        <v>259362.58000000002</v>
      </c>
      <c r="AD457" s="9">
        <v>23366</v>
      </c>
      <c r="AE457" s="9">
        <v>23366</v>
      </c>
      <c r="AF457" s="9">
        <v>23366</v>
      </c>
      <c r="AG457" s="9">
        <v>23366</v>
      </c>
      <c r="AH457" s="9">
        <v>23366</v>
      </c>
      <c r="AI457" s="9">
        <v>23366</v>
      </c>
      <c r="AJ457" s="9">
        <v>23366</v>
      </c>
      <c r="AK457" s="9">
        <v>23366</v>
      </c>
      <c r="AL457" s="9">
        <v>23366</v>
      </c>
      <c r="AM457" s="9">
        <v>23366</v>
      </c>
      <c r="AN457" s="23">
        <v>23366</v>
      </c>
      <c r="AO457" s="56">
        <v>23366</v>
      </c>
      <c r="AP457" s="10">
        <f>SUM(AD457:AO457)</f>
        <v>280392</v>
      </c>
      <c r="AR457" s="33"/>
    </row>
    <row r="458" spans="1:44" ht="13.5" thickBot="1" x14ac:dyDescent="0.35">
      <c r="C458" s="11" t="s">
        <v>153</v>
      </c>
      <c r="D458" s="12">
        <f t="shared" ref="D458:O458" si="288">SUM(D455:D457)</f>
        <v>13100.79</v>
      </c>
      <c r="E458" s="12">
        <f t="shared" si="288"/>
        <v>12850.79</v>
      </c>
      <c r="F458" s="12">
        <f t="shared" si="288"/>
        <v>12850.79</v>
      </c>
      <c r="G458" s="12">
        <f t="shared" si="288"/>
        <v>12850.79</v>
      </c>
      <c r="H458" s="12">
        <f t="shared" si="288"/>
        <v>12850.79</v>
      </c>
      <c r="I458" s="12">
        <f t="shared" si="288"/>
        <v>12850.79</v>
      </c>
      <c r="J458" s="12">
        <f t="shared" si="288"/>
        <v>12850.79</v>
      </c>
      <c r="K458" s="12">
        <f t="shared" si="288"/>
        <v>12850.78</v>
      </c>
      <c r="L458" s="12">
        <f t="shared" si="288"/>
        <v>12850.78</v>
      </c>
      <c r="M458" s="12">
        <f t="shared" si="288"/>
        <v>12850.78</v>
      </c>
      <c r="N458" s="12">
        <f t="shared" si="288"/>
        <v>12850.79</v>
      </c>
      <c r="O458" s="12">
        <f t="shared" si="288"/>
        <v>12850.79</v>
      </c>
      <c r="P458" s="12">
        <f>SUM(P455:P457)</f>
        <v>154459.45000000001</v>
      </c>
      <c r="Q458" s="12">
        <f t="shared" ref="Q458:AB458" si="289">SUM(Q455:Q457)</f>
        <v>13100.79</v>
      </c>
      <c r="R458" s="12">
        <f t="shared" si="289"/>
        <v>12850.79</v>
      </c>
      <c r="S458" s="12">
        <f t="shared" si="289"/>
        <v>23366</v>
      </c>
      <c r="T458" s="12">
        <f t="shared" si="289"/>
        <v>23366</v>
      </c>
      <c r="U458" s="12">
        <f t="shared" si="289"/>
        <v>23366</v>
      </c>
      <c r="V458" s="12">
        <f t="shared" si="289"/>
        <v>23366</v>
      </c>
      <c r="W458" s="12">
        <f t="shared" si="289"/>
        <v>23366</v>
      </c>
      <c r="X458" s="12">
        <f t="shared" si="289"/>
        <v>23367</v>
      </c>
      <c r="Y458" s="12">
        <f t="shared" si="289"/>
        <v>23366</v>
      </c>
      <c r="Z458" s="12">
        <f t="shared" si="289"/>
        <v>23366</v>
      </c>
      <c r="AA458" s="12">
        <f t="shared" si="289"/>
        <v>23366</v>
      </c>
      <c r="AB458" s="12">
        <f t="shared" si="289"/>
        <v>23366</v>
      </c>
      <c r="AC458" s="12">
        <f>SUM(AC455:AC457)</f>
        <v>259612.58000000002</v>
      </c>
      <c r="AD458" s="12">
        <f>SUM(AD455:AD457)</f>
        <v>23616</v>
      </c>
      <c r="AE458" s="12">
        <f>SUM(AE455:AE457)</f>
        <v>23366</v>
      </c>
      <c r="AF458" s="12">
        <f t="shared" ref="AF458:AO458" si="290">SUM(AF455:AF457)</f>
        <v>23366</v>
      </c>
      <c r="AG458" s="12">
        <f t="shared" si="290"/>
        <v>23366</v>
      </c>
      <c r="AH458" s="12">
        <f t="shared" si="290"/>
        <v>23366</v>
      </c>
      <c r="AI458" s="12">
        <f t="shared" si="290"/>
        <v>23366</v>
      </c>
      <c r="AJ458" s="12">
        <f t="shared" si="290"/>
        <v>23366</v>
      </c>
      <c r="AK458" s="12">
        <f t="shared" si="290"/>
        <v>23366</v>
      </c>
      <c r="AL458" s="12">
        <f t="shared" si="290"/>
        <v>23366</v>
      </c>
      <c r="AM458" s="12">
        <f t="shared" si="290"/>
        <v>23366</v>
      </c>
      <c r="AN458" s="12">
        <f t="shared" si="290"/>
        <v>23366</v>
      </c>
      <c r="AO458" s="57">
        <f t="shared" si="290"/>
        <v>23366</v>
      </c>
      <c r="AP458" s="12">
        <f>SUM(AP455:AP457)</f>
        <v>280642</v>
      </c>
    </row>
    <row r="459" spans="1:44" x14ac:dyDescent="0.3">
      <c r="C459" s="13"/>
    </row>
    <row r="460" spans="1:44" ht="15.5" x14ac:dyDescent="0.35">
      <c r="B460" s="24" t="s">
        <v>5</v>
      </c>
      <c r="C460" s="8" t="s">
        <v>154</v>
      </c>
    </row>
    <row r="461" spans="1:44" x14ac:dyDescent="0.3">
      <c r="C461" s="6" t="s">
        <v>7</v>
      </c>
      <c r="D461" s="10">
        <v>0</v>
      </c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>
        <f>SUM(D461:O461)</f>
        <v>0</v>
      </c>
    </row>
    <row r="462" spans="1:44" x14ac:dyDescent="0.3">
      <c r="C462" s="6" t="s">
        <v>8</v>
      </c>
      <c r="D462" s="9">
        <v>250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10">
        <f>SUM(D462:O462)</f>
        <v>250</v>
      </c>
    </row>
    <row r="463" spans="1:44" ht="13.5" thickBot="1" x14ac:dyDescent="0.35">
      <c r="C463" s="6" t="s">
        <v>9</v>
      </c>
      <c r="D463" s="10">
        <v>86093.75</v>
      </c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10">
        <f>SUM(D463:O463)</f>
        <v>86093.75</v>
      </c>
    </row>
    <row r="464" spans="1:44" ht="13.5" thickBot="1" x14ac:dyDescent="0.35">
      <c r="C464" s="11" t="s">
        <v>155</v>
      </c>
      <c r="D464" s="12">
        <f t="shared" ref="D464:O464" si="291">SUM(D461:D463)</f>
        <v>86343.75</v>
      </c>
      <c r="E464" s="12">
        <f t="shared" si="291"/>
        <v>0</v>
      </c>
      <c r="F464" s="12">
        <f t="shared" si="291"/>
        <v>0</v>
      </c>
      <c r="G464" s="12">
        <f t="shared" si="291"/>
        <v>0</v>
      </c>
      <c r="H464" s="12">
        <f t="shared" si="291"/>
        <v>0</v>
      </c>
      <c r="I464" s="12">
        <f t="shared" si="291"/>
        <v>0</v>
      </c>
      <c r="J464" s="12">
        <f t="shared" si="291"/>
        <v>0</v>
      </c>
      <c r="K464" s="12">
        <f t="shared" si="291"/>
        <v>0</v>
      </c>
      <c r="L464" s="12">
        <f t="shared" si="291"/>
        <v>0</v>
      </c>
      <c r="M464" s="12">
        <f t="shared" si="291"/>
        <v>0</v>
      </c>
      <c r="N464" s="12">
        <f t="shared" si="291"/>
        <v>0</v>
      </c>
      <c r="O464" s="12">
        <f t="shared" si="291"/>
        <v>0</v>
      </c>
      <c r="P464" s="12">
        <f>SUM(P461:P463)</f>
        <v>86343.75</v>
      </c>
    </row>
    <row r="465" spans="1:44" x14ac:dyDescent="0.3">
      <c r="C465" s="13"/>
    </row>
    <row r="466" spans="1:44" ht="15.5" x14ac:dyDescent="0.35">
      <c r="A466" s="1">
        <f>A454+1</f>
        <v>52</v>
      </c>
      <c r="B466" s="26"/>
      <c r="C466" s="22" t="s">
        <v>156</v>
      </c>
    </row>
    <row r="467" spans="1:44" x14ac:dyDescent="0.3">
      <c r="C467" s="6" t="s">
        <v>7</v>
      </c>
      <c r="D467" s="10">
        <v>0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f>SUM(D467:O467)</f>
        <v>0</v>
      </c>
      <c r="Q467" s="10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f>SUM(Q467:AB467)</f>
        <v>0</v>
      </c>
      <c r="AD467" s="10">
        <v>0</v>
      </c>
      <c r="AE467" s="10">
        <v>0</v>
      </c>
      <c r="AF467" s="10">
        <v>0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0">
        <v>0</v>
      </c>
      <c r="AN467" s="10">
        <v>0</v>
      </c>
      <c r="AO467" s="55">
        <v>0</v>
      </c>
      <c r="AP467" s="10">
        <f>SUM(AD467:AO467)</f>
        <v>0</v>
      </c>
    </row>
    <row r="468" spans="1:44" x14ac:dyDescent="0.3">
      <c r="C468" s="6" t="s">
        <v>8</v>
      </c>
      <c r="D468" s="9">
        <v>250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10">
        <f>SUM(D468:O468)</f>
        <v>250</v>
      </c>
      <c r="Q468" s="9">
        <v>250</v>
      </c>
      <c r="AC468" s="10">
        <f>SUM(Q468:AB468)</f>
        <v>250</v>
      </c>
      <c r="AD468" s="9">
        <v>250</v>
      </c>
      <c r="AE468" s="9"/>
      <c r="AF468" s="9"/>
      <c r="AG468" s="9"/>
      <c r="AH468" s="9"/>
      <c r="AI468" s="9"/>
      <c r="AJ468" s="9"/>
      <c r="AK468" s="9"/>
      <c r="AL468" s="9"/>
      <c r="AM468" s="9"/>
      <c r="AN468" s="23"/>
      <c r="AO468" s="56"/>
      <c r="AP468" s="10">
        <f>SUM(AD468:AO468)</f>
        <v>250</v>
      </c>
    </row>
    <row r="469" spans="1:44" ht="13.5" thickBot="1" x14ac:dyDescent="0.35">
      <c r="C469" s="6" t="s">
        <v>9</v>
      </c>
      <c r="D469" s="10">
        <v>138044.79</v>
      </c>
      <c r="E469" s="10">
        <v>138044.79</v>
      </c>
      <c r="F469" s="10">
        <v>138044.79</v>
      </c>
      <c r="G469" s="10">
        <v>138044.79</v>
      </c>
      <c r="H469" s="10">
        <v>138044.79</v>
      </c>
      <c r="I469" s="10">
        <v>138044.79</v>
      </c>
      <c r="J469" s="10">
        <v>138044.79</v>
      </c>
      <c r="K469" s="10">
        <v>138044.79</v>
      </c>
      <c r="L469" s="10">
        <v>138044.79</v>
      </c>
      <c r="M469" s="10">
        <v>138044.79</v>
      </c>
      <c r="N469" s="10">
        <v>138044.79</v>
      </c>
      <c r="O469" s="10">
        <v>138044.79</v>
      </c>
      <c r="P469" s="10">
        <f>SUM(D469:O469)</f>
        <v>1656537.4800000002</v>
      </c>
      <c r="Q469" s="10">
        <f>22916.67+138044.79</f>
        <v>160961.46000000002</v>
      </c>
      <c r="R469" s="10">
        <f t="shared" ref="R469:AB469" si="292">22916.67+138044.79</f>
        <v>160961.46000000002</v>
      </c>
      <c r="S469" s="10">
        <f t="shared" si="292"/>
        <v>160961.46000000002</v>
      </c>
      <c r="T469" s="10">
        <f t="shared" si="292"/>
        <v>160961.46000000002</v>
      </c>
      <c r="U469" s="10">
        <f t="shared" si="292"/>
        <v>160961.46000000002</v>
      </c>
      <c r="V469" s="10">
        <f t="shared" si="292"/>
        <v>160961.46000000002</v>
      </c>
      <c r="W469" s="10">
        <f t="shared" si="292"/>
        <v>160961.46000000002</v>
      </c>
      <c r="X469" s="10">
        <f t="shared" si="292"/>
        <v>160961.46000000002</v>
      </c>
      <c r="Y469" s="10">
        <f t="shared" si="292"/>
        <v>160961.46000000002</v>
      </c>
      <c r="Z469" s="10">
        <f t="shared" si="292"/>
        <v>160961.46000000002</v>
      </c>
      <c r="AA469" s="10">
        <f t="shared" si="292"/>
        <v>160961.46000000002</v>
      </c>
      <c r="AB469" s="10">
        <f t="shared" si="292"/>
        <v>160961.46000000002</v>
      </c>
      <c r="AC469" s="10">
        <f>SUM(Q469:AB469)</f>
        <v>1931537.5199999998</v>
      </c>
      <c r="AD469" s="10">
        <f>40416.67+137070.83</f>
        <v>177487.5</v>
      </c>
      <c r="AE469" s="10">
        <f t="shared" ref="AE469:AO469" si="293">40416.67+137070.83</f>
        <v>177487.5</v>
      </c>
      <c r="AF469" s="10">
        <f t="shared" si="293"/>
        <v>177487.5</v>
      </c>
      <c r="AG469" s="10">
        <f t="shared" si="293"/>
        <v>177487.5</v>
      </c>
      <c r="AH469" s="10">
        <f t="shared" si="293"/>
        <v>177487.5</v>
      </c>
      <c r="AI469" s="10">
        <f t="shared" si="293"/>
        <v>177487.5</v>
      </c>
      <c r="AJ469" s="10">
        <f t="shared" si="293"/>
        <v>177487.5</v>
      </c>
      <c r="AK469" s="10">
        <f t="shared" si="293"/>
        <v>177487.5</v>
      </c>
      <c r="AL469" s="10">
        <f t="shared" si="293"/>
        <v>177487.5</v>
      </c>
      <c r="AM469" s="10">
        <f t="shared" si="293"/>
        <v>177487.5</v>
      </c>
      <c r="AN469" s="10">
        <f t="shared" si="293"/>
        <v>177487.5</v>
      </c>
      <c r="AO469" s="55">
        <f t="shared" si="293"/>
        <v>177487.5</v>
      </c>
      <c r="AP469" s="10">
        <f>SUM(AD469:AO469)</f>
        <v>2129850</v>
      </c>
      <c r="AR469" s="33"/>
    </row>
    <row r="470" spans="1:44" ht="13.5" thickBot="1" x14ac:dyDescent="0.35">
      <c r="C470" s="11" t="s">
        <v>157</v>
      </c>
      <c r="D470" s="12">
        <f t="shared" ref="D470:O470" si="294">SUM(D467:D469)</f>
        <v>138294.79</v>
      </c>
      <c r="E470" s="12">
        <f t="shared" si="294"/>
        <v>138044.79</v>
      </c>
      <c r="F470" s="12">
        <f t="shared" si="294"/>
        <v>138044.79</v>
      </c>
      <c r="G470" s="12">
        <f t="shared" si="294"/>
        <v>138044.79</v>
      </c>
      <c r="H470" s="12">
        <f t="shared" si="294"/>
        <v>138044.79</v>
      </c>
      <c r="I470" s="12">
        <f t="shared" si="294"/>
        <v>138044.79</v>
      </c>
      <c r="J470" s="12">
        <f t="shared" si="294"/>
        <v>138044.79</v>
      </c>
      <c r="K470" s="12">
        <f t="shared" si="294"/>
        <v>138044.79</v>
      </c>
      <c r="L470" s="12">
        <f t="shared" si="294"/>
        <v>138044.79</v>
      </c>
      <c r="M470" s="12">
        <f t="shared" si="294"/>
        <v>138044.79</v>
      </c>
      <c r="N470" s="12">
        <f t="shared" si="294"/>
        <v>138044.79</v>
      </c>
      <c r="O470" s="12">
        <f t="shared" si="294"/>
        <v>138044.79</v>
      </c>
      <c r="P470" s="12">
        <f>SUM(P467:P469)</f>
        <v>1656787.4800000002</v>
      </c>
      <c r="Q470" s="12">
        <f t="shared" ref="Q470:AB470" si="295">SUM(Q467:Q469)</f>
        <v>161211.46000000002</v>
      </c>
      <c r="R470" s="12">
        <f t="shared" si="295"/>
        <v>160961.46000000002</v>
      </c>
      <c r="S470" s="12">
        <f t="shared" si="295"/>
        <v>160961.46000000002</v>
      </c>
      <c r="T470" s="12">
        <f t="shared" si="295"/>
        <v>160961.46000000002</v>
      </c>
      <c r="U470" s="12">
        <f t="shared" si="295"/>
        <v>160961.46000000002</v>
      </c>
      <c r="V470" s="12">
        <f t="shared" si="295"/>
        <v>160961.46000000002</v>
      </c>
      <c r="W470" s="12">
        <f t="shared" si="295"/>
        <v>160961.46000000002</v>
      </c>
      <c r="X470" s="12">
        <f t="shared" si="295"/>
        <v>160961.46000000002</v>
      </c>
      <c r="Y470" s="12">
        <f t="shared" si="295"/>
        <v>160961.46000000002</v>
      </c>
      <c r="Z470" s="12">
        <f t="shared" si="295"/>
        <v>160961.46000000002</v>
      </c>
      <c r="AA470" s="12">
        <f t="shared" si="295"/>
        <v>160961.46000000002</v>
      </c>
      <c r="AB470" s="12">
        <f t="shared" si="295"/>
        <v>160961.46000000002</v>
      </c>
      <c r="AC470" s="12">
        <f>SUM(AC467:AC469)</f>
        <v>1931787.5199999998</v>
      </c>
      <c r="AD470" s="12">
        <f>SUM(AD467:AD469)</f>
        <v>177737.5</v>
      </c>
      <c r="AE470" s="12">
        <f>SUM(AE467:AE469)</f>
        <v>177487.5</v>
      </c>
      <c r="AF470" s="12">
        <f t="shared" ref="AF470:AO470" si="296">SUM(AF467:AF469)</f>
        <v>177487.5</v>
      </c>
      <c r="AG470" s="12">
        <f t="shared" si="296"/>
        <v>177487.5</v>
      </c>
      <c r="AH470" s="12">
        <f t="shared" si="296"/>
        <v>177487.5</v>
      </c>
      <c r="AI470" s="12">
        <f t="shared" si="296"/>
        <v>177487.5</v>
      </c>
      <c r="AJ470" s="12">
        <f t="shared" si="296"/>
        <v>177487.5</v>
      </c>
      <c r="AK470" s="12">
        <f t="shared" si="296"/>
        <v>177487.5</v>
      </c>
      <c r="AL470" s="12">
        <f t="shared" si="296"/>
        <v>177487.5</v>
      </c>
      <c r="AM470" s="12">
        <f t="shared" si="296"/>
        <v>177487.5</v>
      </c>
      <c r="AN470" s="12">
        <f t="shared" si="296"/>
        <v>177487.5</v>
      </c>
      <c r="AO470" s="57">
        <f t="shared" si="296"/>
        <v>177487.5</v>
      </c>
      <c r="AP470" s="12">
        <f>SUM(AP467:AP469)</f>
        <v>2130100</v>
      </c>
    </row>
    <row r="471" spans="1:44" x14ac:dyDescent="0.3">
      <c r="C471" s="13"/>
    </row>
    <row r="472" spans="1:44" ht="15.5" x14ac:dyDescent="0.35">
      <c r="B472" s="25" t="s">
        <v>5</v>
      </c>
      <c r="C472" s="8" t="s">
        <v>158</v>
      </c>
    </row>
    <row r="473" spans="1:44" x14ac:dyDescent="0.3">
      <c r="C473" s="6" t="s">
        <v>7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/>
      <c r="P473" s="10">
        <f>SUM(D473:O473)</f>
        <v>0</v>
      </c>
    </row>
    <row r="474" spans="1:44" x14ac:dyDescent="0.3">
      <c r="C474" s="6" t="s">
        <v>8</v>
      </c>
      <c r="D474" s="9">
        <v>250</v>
      </c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10">
        <f>SUM(D474:O474)</f>
        <v>250</v>
      </c>
    </row>
    <row r="475" spans="1:44" ht="13.5" thickBot="1" x14ac:dyDescent="0.35">
      <c r="C475" s="6" t="s">
        <v>9</v>
      </c>
      <c r="D475" s="9">
        <v>69801.56</v>
      </c>
      <c r="E475" s="9">
        <v>69801.56</v>
      </c>
      <c r="F475" s="9">
        <v>69801.56</v>
      </c>
      <c r="G475" s="9">
        <v>69801.56</v>
      </c>
      <c r="H475" s="9">
        <v>69801.56</v>
      </c>
      <c r="I475" s="9">
        <v>69801.570000000007</v>
      </c>
      <c r="J475" s="9">
        <v>69104.3</v>
      </c>
      <c r="K475" s="9">
        <v>69104.3</v>
      </c>
      <c r="L475" s="9">
        <v>69104.3</v>
      </c>
      <c r="M475" s="9">
        <v>69104.3</v>
      </c>
      <c r="N475" s="9">
        <v>69104.3</v>
      </c>
      <c r="O475" s="9"/>
      <c r="P475" s="10">
        <f>SUM(D475:O475)</f>
        <v>764330.87000000011</v>
      </c>
    </row>
    <row r="476" spans="1:44" ht="13.5" thickBot="1" x14ac:dyDescent="0.35">
      <c r="C476" s="11" t="s">
        <v>159</v>
      </c>
      <c r="D476" s="12">
        <f t="shared" ref="D476:O476" si="297">SUM(D473:D475)</f>
        <v>70051.56</v>
      </c>
      <c r="E476" s="12">
        <f t="shared" si="297"/>
        <v>69801.56</v>
      </c>
      <c r="F476" s="12">
        <f t="shared" si="297"/>
        <v>69801.56</v>
      </c>
      <c r="G476" s="12">
        <f t="shared" si="297"/>
        <v>69801.56</v>
      </c>
      <c r="H476" s="12">
        <f t="shared" si="297"/>
        <v>69801.56</v>
      </c>
      <c r="I476" s="12">
        <f t="shared" si="297"/>
        <v>69801.570000000007</v>
      </c>
      <c r="J476" s="12">
        <f t="shared" si="297"/>
        <v>69104.3</v>
      </c>
      <c r="K476" s="12">
        <f t="shared" si="297"/>
        <v>69104.3</v>
      </c>
      <c r="L476" s="12">
        <f t="shared" si="297"/>
        <v>69104.3</v>
      </c>
      <c r="M476" s="12">
        <f t="shared" si="297"/>
        <v>69104.3</v>
      </c>
      <c r="N476" s="12">
        <f t="shared" si="297"/>
        <v>69104.3</v>
      </c>
      <c r="O476" s="12">
        <f t="shared" si="297"/>
        <v>0</v>
      </c>
      <c r="P476" s="12">
        <f>SUM(P473:P475)</f>
        <v>764580.87000000011</v>
      </c>
    </row>
    <row r="477" spans="1:44" x14ac:dyDescent="0.3">
      <c r="C477" s="13"/>
    </row>
    <row r="478" spans="1:44" ht="15.5" x14ac:dyDescent="0.35">
      <c r="A478" s="18">
        <f>+A466+1</f>
        <v>53</v>
      </c>
      <c r="C478" s="22" t="s">
        <v>160</v>
      </c>
    </row>
    <row r="479" spans="1:44" x14ac:dyDescent="0.3">
      <c r="C479" s="6" t="s">
        <v>7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f>SUM(D479:O479)</f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f>SUM(Q479:AB479)</f>
        <v>0</v>
      </c>
      <c r="AD479" s="10">
        <v>0</v>
      </c>
      <c r="AE479" s="10">
        <v>0</v>
      </c>
      <c r="AF479" s="10">
        <v>0</v>
      </c>
      <c r="AG479" s="10">
        <v>0</v>
      </c>
      <c r="AH479" s="10">
        <v>0</v>
      </c>
      <c r="AI479" s="10">
        <v>0</v>
      </c>
      <c r="AJ479" s="10">
        <v>0</v>
      </c>
      <c r="AK479" s="10">
        <v>0</v>
      </c>
      <c r="AL479" s="10">
        <v>0</v>
      </c>
      <c r="AM479" s="10">
        <v>0</v>
      </c>
      <c r="AN479" s="10">
        <v>0</v>
      </c>
      <c r="AO479" s="55">
        <v>0</v>
      </c>
      <c r="AP479" s="10">
        <f>SUM(AD479:AO479)</f>
        <v>0</v>
      </c>
    </row>
    <row r="480" spans="1:44" x14ac:dyDescent="0.3">
      <c r="C480" s="6" t="s">
        <v>8</v>
      </c>
      <c r="D480" s="9">
        <v>250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10">
        <f>SUM(D480:O480)</f>
        <v>250</v>
      </c>
      <c r="Q480" s="9">
        <v>250</v>
      </c>
      <c r="AC480" s="10">
        <f>SUM(Q480:AB480)</f>
        <v>250</v>
      </c>
      <c r="AD480" s="9">
        <v>250</v>
      </c>
      <c r="AE480" s="9"/>
      <c r="AF480" s="9"/>
      <c r="AG480" s="9"/>
      <c r="AH480" s="9"/>
      <c r="AI480" s="9"/>
      <c r="AJ480" s="9"/>
      <c r="AK480" s="9"/>
      <c r="AL480" s="9"/>
      <c r="AM480" s="9"/>
      <c r="AN480" s="23"/>
      <c r="AO480" s="56"/>
      <c r="AP480" s="10">
        <f>SUM(AD480:AO480)</f>
        <v>250</v>
      </c>
    </row>
    <row r="481" spans="1:44" ht="13.5" thickBot="1" x14ac:dyDescent="0.35">
      <c r="C481" s="6" t="s">
        <v>9</v>
      </c>
      <c r="D481" s="10">
        <v>197854.17</v>
      </c>
      <c r="E481" s="10">
        <v>197854.17</v>
      </c>
      <c r="F481" s="10">
        <v>197854.17</v>
      </c>
      <c r="G481" s="9">
        <v>197666.67</v>
      </c>
      <c r="H481" s="9">
        <v>197666.67</v>
      </c>
      <c r="I481" s="9">
        <v>197666.67</v>
      </c>
      <c r="J481" s="9">
        <v>197666.67</v>
      </c>
      <c r="K481" s="9">
        <v>197666.67</v>
      </c>
      <c r="L481" s="9">
        <v>197666.67</v>
      </c>
      <c r="M481" s="9">
        <v>197666.67</v>
      </c>
      <c r="N481" s="9">
        <v>197666.67</v>
      </c>
      <c r="O481" s="9">
        <v>197666.67</v>
      </c>
      <c r="P481" s="10">
        <f>SUM(D481:O481)</f>
        <v>2372562.5399999996</v>
      </c>
      <c r="Q481" s="9">
        <v>197666.67</v>
      </c>
      <c r="R481" s="9">
        <v>197666.67</v>
      </c>
      <c r="S481" s="9">
        <v>197666.67</v>
      </c>
      <c r="T481" s="9">
        <v>197833.34</v>
      </c>
      <c r="U481" s="9">
        <v>197833.34</v>
      </c>
      <c r="V481" s="9">
        <v>197833.34</v>
      </c>
      <c r="W481" s="9">
        <v>197833.34</v>
      </c>
      <c r="X481" s="9">
        <v>197833.34</v>
      </c>
      <c r="Y481" s="9">
        <v>197833.34</v>
      </c>
      <c r="Z481" s="9">
        <v>197833.34</v>
      </c>
      <c r="AA481" s="9">
        <v>197833.34</v>
      </c>
      <c r="AB481" s="9">
        <v>197833.34</v>
      </c>
      <c r="AC481" s="10">
        <f>SUM(Q481:AB481)</f>
        <v>2373500.0700000003</v>
      </c>
      <c r="AD481" s="9">
        <v>197833.34</v>
      </c>
      <c r="AE481" s="9">
        <v>197833.34</v>
      </c>
      <c r="AF481" s="9">
        <v>197833.34</v>
      </c>
      <c r="AG481" s="10">
        <v>197916.68</v>
      </c>
      <c r="AH481" s="10">
        <v>197916.68</v>
      </c>
      <c r="AI481" s="10">
        <v>197916.68</v>
      </c>
      <c r="AJ481" s="10">
        <v>197916.68</v>
      </c>
      <c r="AK481" s="10">
        <v>197916.68</v>
      </c>
      <c r="AL481" s="10">
        <v>197916.68</v>
      </c>
      <c r="AM481" s="10">
        <v>197916.68</v>
      </c>
      <c r="AN481" s="10">
        <v>197916.68</v>
      </c>
      <c r="AO481" s="55">
        <v>197916.68</v>
      </c>
      <c r="AP481" s="10">
        <f>SUM(AD481:AO481)</f>
        <v>2374750.1399999997</v>
      </c>
      <c r="AR481" s="33"/>
    </row>
    <row r="482" spans="1:44" ht="13.5" thickBot="1" x14ac:dyDescent="0.35">
      <c r="C482" s="11" t="s">
        <v>161</v>
      </c>
      <c r="D482" s="12">
        <f t="shared" ref="D482:O482" si="298">SUM(D479:D481)</f>
        <v>198104.17</v>
      </c>
      <c r="E482" s="12">
        <f t="shared" si="298"/>
        <v>197854.17</v>
      </c>
      <c r="F482" s="12">
        <f t="shared" si="298"/>
        <v>197854.17</v>
      </c>
      <c r="G482" s="12">
        <f t="shared" si="298"/>
        <v>197666.67</v>
      </c>
      <c r="H482" s="12">
        <f t="shared" si="298"/>
        <v>197666.67</v>
      </c>
      <c r="I482" s="12">
        <f t="shared" si="298"/>
        <v>197666.67</v>
      </c>
      <c r="J482" s="12">
        <f t="shared" si="298"/>
        <v>197666.67</v>
      </c>
      <c r="K482" s="12">
        <f t="shared" si="298"/>
        <v>197666.67</v>
      </c>
      <c r="L482" s="12">
        <f t="shared" si="298"/>
        <v>197666.67</v>
      </c>
      <c r="M482" s="12">
        <f t="shared" si="298"/>
        <v>197666.67</v>
      </c>
      <c r="N482" s="12">
        <f t="shared" si="298"/>
        <v>197666.67</v>
      </c>
      <c r="O482" s="12">
        <f t="shared" si="298"/>
        <v>197666.67</v>
      </c>
      <c r="P482" s="12">
        <f>SUM(P479:P481)</f>
        <v>2372812.5399999996</v>
      </c>
      <c r="Q482" s="12">
        <f t="shared" ref="Q482:AB482" si="299">SUM(Q479:Q481)</f>
        <v>197916.67</v>
      </c>
      <c r="R482" s="12">
        <f t="shared" si="299"/>
        <v>197666.67</v>
      </c>
      <c r="S482" s="12">
        <f t="shared" si="299"/>
        <v>197666.67</v>
      </c>
      <c r="T482" s="12">
        <f t="shared" si="299"/>
        <v>197833.34</v>
      </c>
      <c r="U482" s="12">
        <f t="shared" si="299"/>
        <v>197833.34</v>
      </c>
      <c r="V482" s="12">
        <f t="shared" si="299"/>
        <v>197833.34</v>
      </c>
      <c r="W482" s="12">
        <f t="shared" si="299"/>
        <v>197833.34</v>
      </c>
      <c r="X482" s="12">
        <f t="shared" si="299"/>
        <v>197833.34</v>
      </c>
      <c r="Y482" s="12">
        <f t="shared" si="299"/>
        <v>197833.34</v>
      </c>
      <c r="Z482" s="12">
        <f t="shared" si="299"/>
        <v>197833.34</v>
      </c>
      <c r="AA482" s="12">
        <f t="shared" si="299"/>
        <v>197833.34</v>
      </c>
      <c r="AB482" s="12">
        <f t="shared" si="299"/>
        <v>197833.34</v>
      </c>
      <c r="AC482" s="12">
        <f>SUM(AC479:AC481)</f>
        <v>2373750.0700000003</v>
      </c>
      <c r="AD482" s="12">
        <f>SUM(AD479:AD481)</f>
        <v>198083.34</v>
      </c>
      <c r="AE482" s="12">
        <f>SUM(AE479:AE481)</f>
        <v>197833.34</v>
      </c>
      <c r="AF482" s="12">
        <f t="shared" ref="AF482:AO482" si="300">SUM(AF479:AF481)</f>
        <v>197833.34</v>
      </c>
      <c r="AG482" s="12">
        <f t="shared" si="300"/>
        <v>197916.68</v>
      </c>
      <c r="AH482" s="12">
        <f t="shared" si="300"/>
        <v>197916.68</v>
      </c>
      <c r="AI482" s="12">
        <f t="shared" si="300"/>
        <v>197916.68</v>
      </c>
      <c r="AJ482" s="12">
        <f t="shared" si="300"/>
        <v>197916.68</v>
      </c>
      <c r="AK482" s="12">
        <f t="shared" si="300"/>
        <v>197916.68</v>
      </c>
      <c r="AL482" s="12">
        <f t="shared" si="300"/>
        <v>197916.68</v>
      </c>
      <c r="AM482" s="12">
        <f t="shared" si="300"/>
        <v>197916.68</v>
      </c>
      <c r="AN482" s="12">
        <f t="shared" si="300"/>
        <v>197916.68</v>
      </c>
      <c r="AO482" s="57">
        <f t="shared" si="300"/>
        <v>197916.68</v>
      </c>
      <c r="AP482" s="12">
        <f>SUM(AP479:AP481)</f>
        <v>2375000.1399999997</v>
      </c>
    </row>
    <row r="483" spans="1:44" x14ac:dyDescent="0.3">
      <c r="C483" s="13"/>
    </row>
    <row r="484" spans="1:44" ht="15.5" x14ac:dyDescent="0.35">
      <c r="A484" s="18"/>
      <c r="B484" s="27" t="s">
        <v>5</v>
      </c>
      <c r="C484" s="8" t="s">
        <v>162</v>
      </c>
    </row>
    <row r="485" spans="1:44" x14ac:dyDescent="0.3">
      <c r="C485" s="6" t="s">
        <v>7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f>SUM(D485:O485)</f>
        <v>0</v>
      </c>
      <c r="Q485" s="10">
        <v>0</v>
      </c>
      <c r="R485" s="10">
        <v>0</v>
      </c>
      <c r="S485" s="10">
        <v>0</v>
      </c>
      <c r="T485" s="10">
        <v>0</v>
      </c>
      <c r="U485" s="10">
        <v>0</v>
      </c>
      <c r="V485" s="10">
        <v>0</v>
      </c>
      <c r="W485" s="10">
        <v>0</v>
      </c>
      <c r="X485" s="10">
        <v>0</v>
      </c>
      <c r="Y485" s="10">
        <v>0</v>
      </c>
      <c r="Z485" s="10">
        <v>0</v>
      </c>
      <c r="AA485" s="10">
        <v>0</v>
      </c>
      <c r="AB485" s="10">
        <v>0</v>
      </c>
      <c r="AC485" s="10">
        <f>SUM(Q485:AB485)</f>
        <v>0</v>
      </c>
      <c r="AD485" s="10">
        <v>0</v>
      </c>
      <c r="AE485" s="10">
        <v>0</v>
      </c>
      <c r="AF485" s="10">
        <v>0</v>
      </c>
      <c r="AG485" s="10"/>
      <c r="AH485" s="10"/>
      <c r="AI485" s="10"/>
      <c r="AJ485" s="10"/>
      <c r="AK485" s="10"/>
      <c r="AL485" s="10"/>
      <c r="AM485" s="10"/>
      <c r="AN485" s="10"/>
      <c r="AO485" s="55"/>
      <c r="AP485" s="10">
        <f>SUM(AD485:AO485)</f>
        <v>0</v>
      </c>
    </row>
    <row r="486" spans="1:44" x14ac:dyDescent="0.3">
      <c r="C486" s="6" t="s">
        <v>8</v>
      </c>
      <c r="D486" s="9">
        <v>250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10">
        <f>SUM(D486:O486)</f>
        <v>250</v>
      </c>
      <c r="Q486" s="9">
        <v>250</v>
      </c>
      <c r="AC486" s="10">
        <f>SUM(Q486:AB486)</f>
        <v>250</v>
      </c>
      <c r="AD486" s="9">
        <v>250</v>
      </c>
      <c r="AE486" s="9"/>
      <c r="AF486" s="9"/>
      <c r="AG486" s="9"/>
      <c r="AH486" s="9"/>
      <c r="AI486" s="9"/>
      <c r="AJ486" s="9"/>
      <c r="AK486" s="9"/>
      <c r="AL486" s="9"/>
      <c r="AM486" s="9"/>
      <c r="AN486" s="23"/>
      <c r="AO486" s="56"/>
      <c r="AP486" s="10">
        <f>SUM(AD486:AO486)</f>
        <v>250</v>
      </c>
    </row>
    <row r="487" spans="1:44" ht="13.5" thickBot="1" x14ac:dyDescent="0.35">
      <c r="C487" s="6" t="s">
        <v>9</v>
      </c>
      <c r="D487" s="9">
        <v>59134.37</v>
      </c>
      <c r="E487" s="9">
        <v>59134.37</v>
      </c>
      <c r="F487" s="9">
        <v>59134.37</v>
      </c>
      <c r="G487" s="9">
        <v>59134.37</v>
      </c>
      <c r="H487" s="9">
        <v>59134.37</v>
      </c>
      <c r="I487" s="9">
        <v>59134.38</v>
      </c>
      <c r="J487" s="9">
        <v>59134.37</v>
      </c>
      <c r="K487" s="9">
        <v>59134.37</v>
      </c>
      <c r="L487" s="9">
        <v>59134.37</v>
      </c>
      <c r="M487" s="9">
        <v>59134.37</v>
      </c>
      <c r="N487" s="9">
        <v>59134.37</v>
      </c>
      <c r="O487" s="9">
        <v>59134.42</v>
      </c>
      <c r="P487" s="10">
        <f>SUM(D487:O487)</f>
        <v>709612.50000000012</v>
      </c>
      <c r="Q487" s="9">
        <f>8750+50217.71</f>
        <v>58967.71</v>
      </c>
      <c r="R487" s="9">
        <f t="shared" ref="R487:AA487" si="301">8750+50217.71</f>
        <v>58967.71</v>
      </c>
      <c r="S487" s="9">
        <f t="shared" si="301"/>
        <v>58967.71</v>
      </c>
      <c r="T487" s="9">
        <f t="shared" si="301"/>
        <v>58967.71</v>
      </c>
      <c r="U487" s="9">
        <f t="shared" si="301"/>
        <v>58967.71</v>
      </c>
      <c r="V487" s="9">
        <f>8750+50217.7</f>
        <v>58967.7</v>
      </c>
      <c r="W487" s="9">
        <f t="shared" si="301"/>
        <v>58967.71</v>
      </c>
      <c r="X487" s="9">
        <f t="shared" si="301"/>
        <v>58967.71</v>
      </c>
      <c r="Y487" s="9">
        <f t="shared" si="301"/>
        <v>58967.71</v>
      </c>
      <c r="Z487" s="9">
        <f t="shared" si="301"/>
        <v>58967.71</v>
      </c>
      <c r="AA487" s="9">
        <f t="shared" si="301"/>
        <v>58967.71</v>
      </c>
      <c r="AB487" s="9">
        <f>8750+50217.7</f>
        <v>58967.7</v>
      </c>
      <c r="AC487" s="10">
        <f>SUM(Q487:AB487)</f>
        <v>707612.49999999988</v>
      </c>
      <c r="AD487" s="10">
        <f>9583.33+49605.21</f>
        <v>59188.54</v>
      </c>
      <c r="AE487" s="10">
        <f>9583.33+49605.21</f>
        <v>59188.54</v>
      </c>
      <c r="AF487" s="10">
        <f>9583.33+49605.21</f>
        <v>59188.54</v>
      </c>
      <c r="AG487" s="10"/>
      <c r="AH487" s="10"/>
      <c r="AI487" s="10"/>
      <c r="AJ487" s="10"/>
      <c r="AK487" s="10"/>
      <c r="AL487" s="10"/>
      <c r="AM487" s="10"/>
      <c r="AN487" s="10"/>
      <c r="AO487" s="55"/>
      <c r="AP487" s="10">
        <f>SUM(AD487:AO487)</f>
        <v>177565.62</v>
      </c>
      <c r="AR487" s="33"/>
    </row>
    <row r="488" spans="1:44" ht="13.5" thickBot="1" x14ac:dyDescent="0.35">
      <c r="C488" s="11" t="s">
        <v>163</v>
      </c>
      <c r="D488" s="12">
        <f t="shared" ref="D488:O488" si="302">SUM(D485:D487)</f>
        <v>59384.37</v>
      </c>
      <c r="E488" s="12">
        <f t="shared" si="302"/>
        <v>59134.37</v>
      </c>
      <c r="F488" s="12">
        <f t="shared" si="302"/>
        <v>59134.37</v>
      </c>
      <c r="G488" s="12">
        <f t="shared" si="302"/>
        <v>59134.37</v>
      </c>
      <c r="H488" s="12">
        <f t="shared" si="302"/>
        <v>59134.37</v>
      </c>
      <c r="I488" s="12">
        <f t="shared" si="302"/>
        <v>59134.38</v>
      </c>
      <c r="J488" s="12">
        <f t="shared" si="302"/>
        <v>59134.37</v>
      </c>
      <c r="K488" s="12">
        <f t="shared" si="302"/>
        <v>59134.37</v>
      </c>
      <c r="L488" s="12">
        <f t="shared" si="302"/>
        <v>59134.37</v>
      </c>
      <c r="M488" s="12">
        <f t="shared" si="302"/>
        <v>59134.37</v>
      </c>
      <c r="N488" s="12">
        <f t="shared" si="302"/>
        <v>59134.37</v>
      </c>
      <c r="O488" s="12">
        <f t="shared" si="302"/>
        <v>59134.42</v>
      </c>
      <c r="P488" s="12">
        <f>SUM(P485:P487)</f>
        <v>709862.50000000012</v>
      </c>
      <c r="Q488" s="12">
        <f t="shared" ref="Q488:AB488" si="303">SUM(Q485:Q487)</f>
        <v>59217.71</v>
      </c>
      <c r="R488" s="12">
        <f t="shared" si="303"/>
        <v>58967.71</v>
      </c>
      <c r="S488" s="12">
        <f t="shared" si="303"/>
        <v>58967.71</v>
      </c>
      <c r="T488" s="12">
        <f t="shared" si="303"/>
        <v>58967.71</v>
      </c>
      <c r="U488" s="12">
        <f t="shared" si="303"/>
        <v>58967.71</v>
      </c>
      <c r="V488" s="12">
        <f t="shared" si="303"/>
        <v>58967.7</v>
      </c>
      <c r="W488" s="12">
        <f t="shared" si="303"/>
        <v>58967.71</v>
      </c>
      <c r="X488" s="12">
        <f t="shared" si="303"/>
        <v>58967.71</v>
      </c>
      <c r="Y488" s="12">
        <f t="shared" si="303"/>
        <v>58967.71</v>
      </c>
      <c r="Z488" s="12">
        <f t="shared" si="303"/>
        <v>58967.71</v>
      </c>
      <c r="AA488" s="12">
        <f t="shared" si="303"/>
        <v>58967.71</v>
      </c>
      <c r="AB488" s="12">
        <f t="shared" si="303"/>
        <v>58967.7</v>
      </c>
      <c r="AC488" s="12">
        <f>SUM(AC485:AC487)</f>
        <v>707862.49999999988</v>
      </c>
      <c r="AD488" s="12">
        <f>SUM(AD485:AD487)</f>
        <v>59438.54</v>
      </c>
      <c r="AE488" s="12">
        <f>SUM(AE485:AE487)</f>
        <v>59188.54</v>
      </c>
      <c r="AF488" s="12">
        <f t="shared" ref="AF488:AO488" si="304">SUM(AF485:AF487)</f>
        <v>59188.54</v>
      </c>
      <c r="AG488" s="12">
        <f t="shared" si="304"/>
        <v>0</v>
      </c>
      <c r="AH488" s="12">
        <f t="shared" si="304"/>
        <v>0</v>
      </c>
      <c r="AI488" s="12">
        <f t="shared" si="304"/>
        <v>0</v>
      </c>
      <c r="AJ488" s="12">
        <f t="shared" si="304"/>
        <v>0</v>
      </c>
      <c r="AK488" s="12">
        <f t="shared" si="304"/>
        <v>0</v>
      </c>
      <c r="AL488" s="12">
        <f t="shared" si="304"/>
        <v>0</v>
      </c>
      <c r="AM488" s="12">
        <f t="shared" si="304"/>
        <v>0</v>
      </c>
      <c r="AN488" s="12">
        <f t="shared" si="304"/>
        <v>0</v>
      </c>
      <c r="AO488" s="57">
        <f t="shared" si="304"/>
        <v>0</v>
      </c>
      <c r="AP488" s="12">
        <f>SUM(AP485:AP487)</f>
        <v>177815.62</v>
      </c>
    </row>
    <row r="489" spans="1:44" x14ac:dyDescent="0.3">
      <c r="C489" s="13"/>
    </row>
    <row r="490" spans="1:44" ht="15.5" x14ac:dyDescent="0.35">
      <c r="A490" s="18">
        <f>+A478+1</f>
        <v>54</v>
      </c>
      <c r="C490" s="22" t="s">
        <v>164</v>
      </c>
    </row>
    <row r="491" spans="1:44" x14ac:dyDescent="0.3">
      <c r="C491" s="6" t="s">
        <v>7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f>SUM(D491:O491)</f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f>SUM(Q491:AB491)</f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0">
        <v>0</v>
      </c>
      <c r="AN491" s="10">
        <v>0</v>
      </c>
      <c r="AO491" s="55">
        <v>0</v>
      </c>
      <c r="AP491" s="10">
        <f>SUM(AD491:AO491)</f>
        <v>0</v>
      </c>
    </row>
    <row r="492" spans="1:44" x14ac:dyDescent="0.3">
      <c r="C492" s="6" t="s">
        <v>8</v>
      </c>
      <c r="D492" s="9">
        <v>250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10">
        <f>SUM(D492:O492)</f>
        <v>250</v>
      </c>
      <c r="Q492" s="9">
        <v>250</v>
      </c>
      <c r="AC492" s="10">
        <f>SUM(Q492:AB492)</f>
        <v>250</v>
      </c>
      <c r="AD492" s="9">
        <v>250</v>
      </c>
      <c r="AE492" s="9"/>
      <c r="AF492" s="9"/>
      <c r="AG492" s="9"/>
      <c r="AH492" s="9"/>
      <c r="AI492" s="9"/>
      <c r="AJ492" s="9"/>
      <c r="AK492" s="9"/>
      <c r="AL492" s="9"/>
      <c r="AM492" s="9"/>
      <c r="AN492" s="23"/>
      <c r="AO492" s="56"/>
      <c r="AP492" s="10">
        <f>SUM(AD492:AO492)</f>
        <v>250</v>
      </c>
    </row>
    <row r="493" spans="1:44" ht="13.5" thickBot="1" x14ac:dyDescent="0.35">
      <c r="C493" s="6" t="s">
        <v>9</v>
      </c>
      <c r="D493" s="10">
        <f>44070.83+6250</f>
        <v>50320.83</v>
      </c>
      <c r="E493" s="10">
        <f>44070.83+6250</f>
        <v>50320.83</v>
      </c>
      <c r="F493" s="10">
        <f>44070.83+6250</f>
        <v>50320.83</v>
      </c>
      <c r="G493" s="10">
        <f>44070.85+6250</f>
        <v>50320.85</v>
      </c>
      <c r="H493" s="9">
        <f>43820.83+6250</f>
        <v>50070.83</v>
      </c>
      <c r="I493" s="9">
        <f t="shared" ref="I493:S493" si="305">43820.83+6250</f>
        <v>50070.83</v>
      </c>
      <c r="J493" s="9">
        <f t="shared" si="305"/>
        <v>50070.83</v>
      </c>
      <c r="K493" s="9">
        <f t="shared" si="305"/>
        <v>50070.83</v>
      </c>
      <c r="L493" s="9">
        <f t="shared" si="305"/>
        <v>50070.83</v>
      </c>
      <c r="M493" s="9">
        <f>43820.85+6250</f>
        <v>50070.85</v>
      </c>
      <c r="N493" s="9">
        <f t="shared" si="305"/>
        <v>50070.83</v>
      </c>
      <c r="O493" s="9">
        <f t="shared" si="305"/>
        <v>50070.83</v>
      </c>
      <c r="P493" s="10">
        <f>SUM(D493:O493)</f>
        <v>601850</v>
      </c>
      <c r="Q493" s="9">
        <f t="shared" si="305"/>
        <v>50070.83</v>
      </c>
      <c r="R493" s="9">
        <f t="shared" si="305"/>
        <v>50070.83</v>
      </c>
      <c r="S493" s="9">
        <f t="shared" si="305"/>
        <v>50070.83</v>
      </c>
      <c r="T493" s="9">
        <f>43820.85+6250</f>
        <v>50070.85</v>
      </c>
      <c r="U493" s="9">
        <f>43570.83+6666.66</f>
        <v>50237.490000000005</v>
      </c>
      <c r="V493" s="9">
        <f t="shared" ref="V493:AF493" si="306">43570.83+6666.66</f>
        <v>50237.490000000005</v>
      </c>
      <c r="W493" s="9">
        <f t="shared" si="306"/>
        <v>50237.490000000005</v>
      </c>
      <c r="X493" s="9">
        <f t="shared" si="306"/>
        <v>50237.490000000005</v>
      </c>
      <c r="Y493" s="9">
        <f t="shared" si="306"/>
        <v>50237.490000000005</v>
      </c>
      <c r="Z493" s="9">
        <f>43570.85+6666.66</f>
        <v>50237.509999999995</v>
      </c>
      <c r="AA493" s="9">
        <f t="shared" si="306"/>
        <v>50237.490000000005</v>
      </c>
      <c r="AB493" s="9">
        <f t="shared" si="306"/>
        <v>50237.490000000005</v>
      </c>
      <c r="AC493" s="10">
        <f>SUM(Q493:AB493)</f>
        <v>602183.28</v>
      </c>
      <c r="AD493" s="9">
        <f t="shared" si="306"/>
        <v>50237.490000000005</v>
      </c>
      <c r="AE493" s="9">
        <f t="shared" si="306"/>
        <v>50237.490000000005</v>
      </c>
      <c r="AF493" s="9">
        <f t="shared" si="306"/>
        <v>50237.490000000005</v>
      </c>
      <c r="AG493" s="9">
        <f>43570.85+6666.74</f>
        <v>50237.59</v>
      </c>
      <c r="AH493" s="10">
        <f>43304.16+7083.33</f>
        <v>50387.490000000005</v>
      </c>
      <c r="AI493" s="10">
        <f t="shared" ref="AI493:AO493" si="307">43304.16+7083.33</f>
        <v>50387.490000000005</v>
      </c>
      <c r="AJ493" s="10">
        <f t="shared" si="307"/>
        <v>50387.490000000005</v>
      </c>
      <c r="AK493" s="10">
        <f t="shared" si="307"/>
        <v>50387.490000000005</v>
      </c>
      <c r="AL493" s="10">
        <f t="shared" si="307"/>
        <v>50387.490000000005</v>
      </c>
      <c r="AM493" s="10">
        <f>43304.2+7083.33</f>
        <v>50387.53</v>
      </c>
      <c r="AN493" s="10">
        <f t="shared" si="307"/>
        <v>50387.490000000005</v>
      </c>
      <c r="AO493" s="55">
        <f t="shared" si="307"/>
        <v>50387.490000000005</v>
      </c>
      <c r="AP493" s="10">
        <f>SUM(AD493:AO493)</f>
        <v>604050.02</v>
      </c>
      <c r="AR493" s="33"/>
    </row>
    <row r="494" spans="1:44" ht="13.5" thickBot="1" x14ac:dyDescent="0.35">
      <c r="C494" s="11" t="s">
        <v>52</v>
      </c>
      <c r="D494" s="12">
        <f t="shared" ref="D494:O494" si="308">SUM(D491:D493)</f>
        <v>50570.83</v>
      </c>
      <c r="E494" s="12">
        <f t="shared" si="308"/>
        <v>50320.83</v>
      </c>
      <c r="F494" s="12">
        <f t="shared" si="308"/>
        <v>50320.83</v>
      </c>
      <c r="G494" s="12">
        <f t="shared" si="308"/>
        <v>50320.85</v>
      </c>
      <c r="H494" s="12">
        <f t="shared" si="308"/>
        <v>50070.83</v>
      </c>
      <c r="I494" s="12">
        <f t="shared" si="308"/>
        <v>50070.83</v>
      </c>
      <c r="J494" s="12">
        <f t="shared" si="308"/>
        <v>50070.83</v>
      </c>
      <c r="K494" s="12">
        <f t="shared" si="308"/>
        <v>50070.83</v>
      </c>
      <c r="L494" s="12">
        <f t="shared" si="308"/>
        <v>50070.83</v>
      </c>
      <c r="M494" s="12">
        <f t="shared" si="308"/>
        <v>50070.85</v>
      </c>
      <c r="N494" s="12">
        <f t="shared" si="308"/>
        <v>50070.83</v>
      </c>
      <c r="O494" s="12">
        <f t="shared" si="308"/>
        <v>50070.83</v>
      </c>
      <c r="P494" s="12">
        <f>SUM(P491:P493)</f>
        <v>602100</v>
      </c>
      <c r="Q494" s="12">
        <f t="shared" ref="Q494:AB494" si="309">SUM(Q491:Q493)</f>
        <v>50320.83</v>
      </c>
      <c r="R494" s="12">
        <f t="shared" si="309"/>
        <v>50070.83</v>
      </c>
      <c r="S494" s="12">
        <f t="shared" si="309"/>
        <v>50070.83</v>
      </c>
      <c r="T494" s="12">
        <f t="shared" si="309"/>
        <v>50070.85</v>
      </c>
      <c r="U494" s="12">
        <f t="shared" si="309"/>
        <v>50237.490000000005</v>
      </c>
      <c r="V494" s="12">
        <f t="shared" si="309"/>
        <v>50237.490000000005</v>
      </c>
      <c r="W494" s="12">
        <f t="shared" si="309"/>
        <v>50237.490000000005</v>
      </c>
      <c r="X494" s="12">
        <f t="shared" si="309"/>
        <v>50237.490000000005</v>
      </c>
      <c r="Y494" s="12">
        <f t="shared" si="309"/>
        <v>50237.490000000005</v>
      </c>
      <c r="Z494" s="12">
        <f t="shared" si="309"/>
        <v>50237.509999999995</v>
      </c>
      <c r="AA494" s="12">
        <f t="shared" si="309"/>
        <v>50237.490000000005</v>
      </c>
      <c r="AB494" s="12">
        <f t="shared" si="309"/>
        <v>50237.490000000005</v>
      </c>
      <c r="AC494" s="12">
        <f>SUM(AC491:AC493)</f>
        <v>602433.28000000003</v>
      </c>
      <c r="AD494" s="12">
        <f>SUM(AD491:AD493)</f>
        <v>50487.490000000005</v>
      </c>
      <c r="AE494" s="12">
        <f>SUM(AE491:AE493)</f>
        <v>50237.490000000005</v>
      </c>
      <c r="AF494" s="12">
        <f t="shared" ref="AF494:AO494" si="310">SUM(AF491:AF493)</f>
        <v>50237.490000000005</v>
      </c>
      <c r="AG494" s="12">
        <f t="shared" si="310"/>
        <v>50237.59</v>
      </c>
      <c r="AH494" s="12">
        <f t="shared" si="310"/>
        <v>50387.490000000005</v>
      </c>
      <c r="AI494" s="12">
        <f t="shared" si="310"/>
        <v>50387.490000000005</v>
      </c>
      <c r="AJ494" s="12">
        <f t="shared" si="310"/>
        <v>50387.490000000005</v>
      </c>
      <c r="AK494" s="12">
        <f t="shared" si="310"/>
        <v>50387.490000000005</v>
      </c>
      <c r="AL494" s="12">
        <f t="shared" si="310"/>
        <v>50387.490000000005</v>
      </c>
      <c r="AM494" s="12">
        <f t="shared" si="310"/>
        <v>50387.53</v>
      </c>
      <c r="AN494" s="12">
        <f t="shared" si="310"/>
        <v>50387.490000000005</v>
      </c>
      <c r="AO494" s="57">
        <f t="shared" si="310"/>
        <v>50387.490000000005</v>
      </c>
      <c r="AP494" s="12">
        <f>SUM(AP491:AP493)</f>
        <v>604300.02</v>
      </c>
    </row>
    <row r="495" spans="1:44" x14ac:dyDescent="0.3">
      <c r="C495" s="13"/>
    </row>
    <row r="496" spans="1:44" ht="15.5" x14ac:dyDescent="0.35">
      <c r="A496" s="18"/>
      <c r="B496" s="27" t="s">
        <v>5</v>
      </c>
      <c r="C496" s="8" t="s">
        <v>165</v>
      </c>
    </row>
    <row r="497" spans="1:44" x14ac:dyDescent="0.3">
      <c r="C497" s="6" t="s">
        <v>7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f>SUM(D497:O497)</f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/>
      <c r="W497" s="10"/>
      <c r="X497" s="10"/>
      <c r="Y497" s="10"/>
      <c r="Z497" s="10"/>
      <c r="AA497" s="10"/>
      <c r="AB497" s="10"/>
      <c r="AC497" s="10">
        <f>SUM(Q497:AB497)</f>
        <v>0</v>
      </c>
    </row>
    <row r="498" spans="1:44" x14ac:dyDescent="0.3">
      <c r="C498" s="6" t="s">
        <v>8</v>
      </c>
      <c r="D498" s="9">
        <v>250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10">
        <f>SUM(D498:O498)</f>
        <v>250</v>
      </c>
      <c r="Q498" s="9">
        <v>250</v>
      </c>
      <c r="AC498" s="10">
        <f>SUM(Q498:AB498)</f>
        <v>250</v>
      </c>
    </row>
    <row r="499" spans="1:44" ht="13.5" thickBot="1" x14ac:dyDescent="0.35">
      <c r="C499" s="6" t="s">
        <v>9</v>
      </c>
      <c r="D499" s="10">
        <v>28916.67</v>
      </c>
      <c r="E499" s="10">
        <v>28916.67</v>
      </c>
      <c r="F499" s="10">
        <v>28916.67</v>
      </c>
      <c r="G499" s="10">
        <v>28916.67</v>
      </c>
      <c r="H499" s="10">
        <v>28916.67</v>
      </c>
      <c r="I499" s="9">
        <v>55583.33</v>
      </c>
      <c r="J499" s="9">
        <v>55583.33</v>
      </c>
      <c r="K499" s="9">
        <v>55583.33</v>
      </c>
      <c r="L499" s="9">
        <v>55583.33</v>
      </c>
      <c r="M499" s="9">
        <v>55583.33</v>
      </c>
      <c r="N499" s="9">
        <v>55583.33</v>
      </c>
      <c r="O499" s="9">
        <v>55583.33</v>
      </c>
      <c r="P499" s="10">
        <f>SUM(D499:O499)</f>
        <v>533666.66</v>
      </c>
      <c r="Q499" s="9">
        <v>55583.33</v>
      </c>
      <c r="R499" s="9">
        <v>55583.33</v>
      </c>
      <c r="S499" s="9">
        <v>55583.33</v>
      </c>
      <c r="T499" s="9">
        <v>55583.33</v>
      </c>
      <c r="U499" s="9">
        <v>55583.33</v>
      </c>
      <c r="V499" s="9"/>
      <c r="W499" s="9"/>
      <c r="X499" s="9"/>
      <c r="Y499" s="9"/>
      <c r="Z499" s="9"/>
      <c r="AA499" s="9"/>
      <c r="AB499" s="9"/>
      <c r="AC499" s="10">
        <f>SUM(Q499:AB499)</f>
        <v>277916.65000000002</v>
      </c>
    </row>
    <row r="500" spans="1:44" ht="13.5" thickBot="1" x14ac:dyDescent="0.35">
      <c r="C500" s="11" t="s">
        <v>166</v>
      </c>
      <c r="D500" s="12">
        <f t="shared" ref="D500:O500" si="311">SUM(D497:D499)</f>
        <v>29166.67</v>
      </c>
      <c r="E500" s="12">
        <f t="shared" si="311"/>
        <v>28916.67</v>
      </c>
      <c r="F500" s="12">
        <f t="shared" si="311"/>
        <v>28916.67</v>
      </c>
      <c r="G500" s="12">
        <f t="shared" si="311"/>
        <v>28916.67</v>
      </c>
      <c r="H500" s="12">
        <f t="shared" si="311"/>
        <v>28916.67</v>
      </c>
      <c r="I500" s="12">
        <f t="shared" si="311"/>
        <v>55583.33</v>
      </c>
      <c r="J500" s="12">
        <f t="shared" si="311"/>
        <v>55583.33</v>
      </c>
      <c r="K500" s="12">
        <f t="shared" si="311"/>
        <v>55583.33</v>
      </c>
      <c r="L500" s="12">
        <f t="shared" si="311"/>
        <v>55583.33</v>
      </c>
      <c r="M500" s="12">
        <f t="shared" si="311"/>
        <v>55583.33</v>
      </c>
      <c r="N500" s="12">
        <f t="shared" si="311"/>
        <v>55583.33</v>
      </c>
      <c r="O500" s="12">
        <f t="shared" si="311"/>
        <v>55583.33</v>
      </c>
      <c r="P500" s="12">
        <f>SUM(P497:P499)</f>
        <v>533916.66</v>
      </c>
      <c r="Q500" s="12">
        <f t="shared" ref="Q500:AB500" si="312">SUM(Q497:Q499)</f>
        <v>55833.33</v>
      </c>
      <c r="R500" s="12">
        <f t="shared" si="312"/>
        <v>55583.33</v>
      </c>
      <c r="S500" s="12">
        <f t="shared" si="312"/>
        <v>55583.33</v>
      </c>
      <c r="T500" s="12">
        <f t="shared" si="312"/>
        <v>55583.33</v>
      </c>
      <c r="U500" s="12">
        <f t="shared" si="312"/>
        <v>55583.33</v>
      </c>
      <c r="V500" s="12">
        <f t="shared" si="312"/>
        <v>0</v>
      </c>
      <c r="W500" s="12">
        <f t="shared" si="312"/>
        <v>0</v>
      </c>
      <c r="X500" s="12">
        <f t="shared" si="312"/>
        <v>0</v>
      </c>
      <c r="Y500" s="12">
        <f t="shared" si="312"/>
        <v>0</v>
      </c>
      <c r="Z500" s="12">
        <f t="shared" si="312"/>
        <v>0</v>
      </c>
      <c r="AA500" s="12">
        <f t="shared" si="312"/>
        <v>0</v>
      </c>
      <c r="AB500" s="12">
        <f t="shared" si="312"/>
        <v>0</v>
      </c>
      <c r="AC500" s="12">
        <f>SUM(AC497:AC499)</f>
        <v>278166.65000000002</v>
      </c>
    </row>
    <row r="501" spans="1:44" x14ac:dyDescent="0.3">
      <c r="C501" s="13"/>
    </row>
    <row r="502" spans="1:44" ht="15.5" x14ac:dyDescent="0.35">
      <c r="A502" s="18"/>
      <c r="B502" s="27" t="s">
        <v>5</v>
      </c>
      <c r="C502" s="8" t="s">
        <v>167</v>
      </c>
    </row>
    <row r="503" spans="1:44" x14ac:dyDescent="0.3">
      <c r="C503" s="6" t="s">
        <v>7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/>
      <c r="P503" s="10">
        <f>SUM(D503:O503)</f>
        <v>0</v>
      </c>
    </row>
    <row r="504" spans="1:44" x14ac:dyDescent="0.3">
      <c r="C504" s="6" t="s">
        <v>8</v>
      </c>
      <c r="D504" s="9">
        <v>250</v>
      </c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10">
        <f>SUM(D504:O504)</f>
        <v>250</v>
      </c>
    </row>
    <row r="505" spans="1:44" ht="13.5" thickBot="1" x14ac:dyDescent="0.35">
      <c r="C505" s="6" t="s">
        <v>9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9">
        <v>110677.57</v>
      </c>
      <c r="K505" s="9">
        <v>110677.57</v>
      </c>
      <c r="L505" s="9">
        <v>110677.57</v>
      </c>
      <c r="M505" s="9">
        <v>110677.57</v>
      </c>
      <c r="N505" s="9">
        <v>110677.57</v>
      </c>
      <c r="O505" s="9"/>
      <c r="P505" s="10">
        <f>SUM(D505:O505)</f>
        <v>553387.85000000009</v>
      </c>
    </row>
    <row r="506" spans="1:44" ht="13.5" thickBot="1" x14ac:dyDescent="0.35">
      <c r="C506" s="11" t="s">
        <v>168</v>
      </c>
      <c r="D506" s="12">
        <f t="shared" ref="D506:O506" si="313">SUM(D503:D505)</f>
        <v>250</v>
      </c>
      <c r="E506" s="12">
        <f t="shared" si="313"/>
        <v>0</v>
      </c>
      <c r="F506" s="12">
        <f t="shared" si="313"/>
        <v>0</v>
      </c>
      <c r="G506" s="12">
        <f t="shared" si="313"/>
        <v>0</v>
      </c>
      <c r="H506" s="12">
        <f t="shared" si="313"/>
        <v>0</v>
      </c>
      <c r="I506" s="12">
        <f t="shared" si="313"/>
        <v>0</v>
      </c>
      <c r="J506" s="12">
        <f t="shared" si="313"/>
        <v>110677.57</v>
      </c>
      <c r="K506" s="12">
        <f t="shared" si="313"/>
        <v>110677.57</v>
      </c>
      <c r="L506" s="12">
        <f t="shared" si="313"/>
        <v>110677.57</v>
      </c>
      <c r="M506" s="12">
        <f t="shared" si="313"/>
        <v>110677.57</v>
      </c>
      <c r="N506" s="12">
        <f t="shared" si="313"/>
        <v>110677.57</v>
      </c>
      <c r="O506" s="12">
        <f t="shared" si="313"/>
        <v>0</v>
      </c>
      <c r="P506" s="12">
        <f>SUM(P503:P505)</f>
        <v>553637.85000000009</v>
      </c>
    </row>
    <row r="507" spans="1:44" x14ac:dyDescent="0.3">
      <c r="C507" s="13"/>
    </row>
    <row r="508" spans="1:44" ht="15.5" x14ac:dyDescent="0.35">
      <c r="A508" s="18">
        <f>+A490+1</f>
        <v>55</v>
      </c>
      <c r="C508" s="22" t="s">
        <v>169</v>
      </c>
    </row>
    <row r="509" spans="1:44" x14ac:dyDescent="0.3">
      <c r="C509" s="6" t="s">
        <v>7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f>SUM(D509:O509)</f>
        <v>0</v>
      </c>
      <c r="Q509" s="10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f>SUM(Q509:AB509)</f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0</v>
      </c>
      <c r="AK509" s="10">
        <v>0</v>
      </c>
      <c r="AL509" s="10">
        <v>0</v>
      </c>
      <c r="AM509" s="10">
        <v>0</v>
      </c>
      <c r="AN509" s="10">
        <v>0</v>
      </c>
      <c r="AO509" s="55">
        <v>0</v>
      </c>
      <c r="AP509" s="10">
        <f>SUM(AD509:AO509)</f>
        <v>0</v>
      </c>
    </row>
    <row r="510" spans="1:44" x14ac:dyDescent="0.3">
      <c r="C510" s="6" t="s">
        <v>8</v>
      </c>
      <c r="D510" s="9">
        <v>250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10">
        <f>SUM(D510:O510)</f>
        <v>250</v>
      </c>
      <c r="Q510" s="9">
        <v>250</v>
      </c>
      <c r="AC510" s="10">
        <f>SUM(Q510:AB510)</f>
        <v>250</v>
      </c>
      <c r="AD510" s="9">
        <v>250</v>
      </c>
      <c r="AE510" s="9"/>
      <c r="AF510" s="9"/>
      <c r="AG510" s="9"/>
      <c r="AH510" s="9"/>
      <c r="AI510" s="9"/>
      <c r="AJ510" s="9"/>
      <c r="AK510" s="9"/>
      <c r="AL510" s="9"/>
      <c r="AM510" s="9"/>
      <c r="AN510" s="23"/>
      <c r="AO510" s="56"/>
      <c r="AP510" s="10">
        <f>SUM(AD510:AO510)</f>
        <v>250</v>
      </c>
    </row>
    <row r="511" spans="1:44" ht="13.5" thickBot="1" x14ac:dyDescent="0.35">
      <c r="C511" s="6" t="s">
        <v>9</v>
      </c>
      <c r="D511" s="9">
        <v>42338.43</v>
      </c>
      <c r="E511" s="9">
        <v>42338.85</v>
      </c>
      <c r="F511" s="9">
        <v>42339.17</v>
      </c>
      <c r="G511" s="9">
        <v>42338.39</v>
      </c>
      <c r="H511" s="9">
        <v>42338.5</v>
      </c>
      <c r="I511" s="9">
        <v>42338.52</v>
      </c>
      <c r="J511" s="9">
        <v>42338.43</v>
      </c>
      <c r="K511" s="9">
        <v>42338.25</v>
      </c>
      <c r="L511" s="9">
        <v>42338.96</v>
      </c>
      <c r="M511" s="9">
        <v>42338.57</v>
      </c>
      <c r="N511" s="9">
        <v>42339.08</v>
      </c>
      <c r="O511" s="9">
        <v>42338.48</v>
      </c>
      <c r="P511" s="10">
        <f>SUM(D511:O511)</f>
        <v>508063.63</v>
      </c>
      <c r="Q511" s="9">
        <v>42338.78</v>
      </c>
      <c r="R511" s="9">
        <v>42338.98</v>
      </c>
      <c r="S511" s="9">
        <v>42339.08</v>
      </c>
      <c r="T511" s="9">
        <v>42339.07</v>
      </c>
      <c r="U511" s="9">
        <v>42338.96</v>
      </c>
      <c r="V511" s="9">
        <v>42338.75</v>
      </c>
      <c r="W511" s="9">
        <v>42338.43</v>
      </c>
      <c r="X511" s="9">
        <v>42339.01</v>
      </c>
      <c r="Y511" s="9">
        <v>42338.48</v>
      </c>
      <c r="Z511" s="9">
        <v>42338.85</v>
      </c>
      <c r="AA511" s="9">
        <v>42339.12</v>
      </c>
      <c r="AB511" s="9">
        <v>42338.28</v>
      </c>
      <c r="AC511" s="10">
        <f>SUM(Q511:AB511)</f>
        <v>508065.78999999992</v>
      </c>
      <c r="AD511" s="10">
        <v>42338.34</v>
      </c>
      <c r="AE511" s="10">
        <v>42338.29</v>
      </c>
      <c r="AF511" s="10">
        <v>42339.13</v>
      </c>
      <c r="AG511" s="10">
        <v>42338.87</v>
      </c>
      <c r="AH511" s="10">
        <v>42338.5</v>
      </c>
      <c r="AI511" s="10">
        <v>42339.03</v>
      </c>
      <c r="AJ511" s="10">
        <v>42338.45</v>
      </c>
      <c r="AK511" s="10">
        <v>42338.77</v>
      </c>
      <c r="AL511" s="10">
        <v>42338.97</v>
      </c>
      <c r="AM511" s="10">
        <v>42339.07</v>
      </c>
      <c r="AN511" s="10">
        <v>42339.07</v>
      </c>
      <c r="AO511" s="55">
        <v>42338.95</v>
      </c>
      <c r="AP511" s="10">
        <f>SUM(AD511:AO511)</f>
        <v>508065.44</v>
      </c>
      <c r="AR511" s="33"/>
    </row>
    <row r="512" spans="1:44" ht="13.5" thickBot="1" x14ac:dyDescent="0.35">
      <c r="C512" s="11" t="s">
        <v>170</v>
      </c>
      <c r="D512" s="12">
        <f t="shared" ref="D512:O512" si="314">SUM(D509:D511)</f>
        <v>42588.43</v>
      </c>
      <c r="E512" s="12">
        <f t="shared" si="314"/>
        <v>42338.85</v>
      </c>
      <c r="F512" s="12">
        <f t="shared" si="314"/>
        <v>42339.17</v>
      </c>
      <c r="G512" s="12">
        <f t="shared" si="314"/>
        <v>42338.39</v>
      </c>
      <c r="H512" s="12">
        <f t="shared" si="314"/>
        <v>42338.5</v>
      </c>
      <c r="I512" s="12">
        <f t="shared" si="314"/>
        <v>42338.52</v>
      </c>
      <c r="J512" s="12">
        <f t="shared" si="314"/>
        <v>42338.43</v>
      </c>
      <c r="K512" s="12">
        <f t="shared" si="314"/>
        <v>42338.25</v>
      </c>
      <c r="L512" s="12">
        <f t="shared" si="314"/>
        <v>42338.96</v>
      </c>
      <c r="M512" s="12">
        <f t="shared" si="314"/>
        <v>42338.57</v>
      </c>
      <c r="N512" s="12">
        <f t="shared" si="314"/>
        <v>42339.08</v>
      </c>
      <c r="O512" s="12">
        <f t="shared" si="314"/>
        <v>42338.48</v>
      </c>
      <c r="P512" s="12">
        <f>SUM(P509:P511)</f>
        <v>508313.63</v>
      </c>
      <c r="Q512" s="12">
        <f t="shared" ref="Q512:AB512" si="315">SUM(Q509:Q511)</f>
        <v>42588.78</v>
      </c>
      <c r="R512" s="12">
        <f t="shared" si="315"/>
        <v>42338.98</v>
      </c>
      <c r="S512" s="12">
        <f t="shared" si="315"/>
        <v>42339.08</v>
      </c>
      <c r="T512" s="12">
        <f t="shared" si="315"/>
        <v>42339.07</v>
      </c>
      <c r="U512" s="12">
        <f t="shared" si="315"/>
        <v>42338.96</v>
      </c>
      <c r="V512" s="12">
        <f t="shared" si="315"/>
        <v>42338.75</v>
      </c>
      <c r="W512" s="12">
        <f t="shared" si="315"/>
        <v>42338.43</v>
      </c>
      <c r="X512" s="12">
        <f t="shared" si="315"/>
        <v>42339.01</v>
      </c>
      <c r="Y512" s="12">
        <f t="shared" si="315"/>
        <v>42338.48</v>
      </c>
      <c r="Z512" s="12">
        <f t="shared" si="315"/>
        <v>42338.85</v>
      </c>
      <c r="AA512" s="12">
        <f t="shared" si="315"/>
        <v>42339.12</v>
      </c>
      <c r="AB512" s="12">
        <f t="shared" si="315"/>
        <v>42338.28</v>
      </c>
      <c r="AC512" s="12">
        <f>SUM(AC509:AC511)</f>
        <v>508315.78999999992</v>
      </c>
      <c r="AD512" s="12">
        <f>SUM(AD509:AD511)</f>
        <v>42588.34</v>
      </c>
      <c r="AE512" s="12">
        <f>SUM(AE509:AE511)</f>
        <v>42338.29</v>
      </c>
      <c r="AF512" s="12">
        <f t="shared" ref="AF512:AO512" si="316">SUM(AF509:AF511)</f>
        <v>42339.13</v>
      </c>
      <c r="AG512" s="12">
        <f t="shared" si="316"/>
        <v>42338.87</v>
      </c>
      <c r="AH512" s="12">
        <f t="shared" si="316"/>
        <v>42338.5</v>
      </c>
      <c r="AI512" s="12">
        <f t="shared" si="316"/>
        <v>42339.03</v>
      </c>
      <c r="AJ512" s="12">
        <f t="shared" si="316"/>
        <v>42338.45</v>
      </c>
      <c r="AK512" s="12">
        <f t="shared" si="316"/>
        <v>42338.77</v>
      </c>
      <c r="AL512" s="12">
        <f t="shared" si="316"/>
        <v>42338.97</v>
      </c>
      <c r="AM512" s="12">
        <f t="shared" si="316"/>
        <v>42339.07</v>
      </c>
      <c r="AN512" s="12">
        <f t="shared" si="316"/>
        <v>42339.07</v>
      </c>
      <c r="AO512" s="57">
        <f t="shared" si="316"/>
        <v>42338.95</v>
      </c>
      <c r="AP512" s="12">
        <f>SUM(AP509:AP511)</f>
        <v>508315.44</v>
      </c>
    </row>
    <row r="513" spans="1:44" x14ac:dyDescent="0.3">
      <c r="C513" s="13"/>
    </row>
    <row r="514" spans="1:44" ht="15.5" x14ac:dyDescent="0.35">
      <c r="A514" s="18">
        <f>+A508+1</f>
        <v>56</v>
      </c>
      <c r="C514" s="22" t="s">
        <v>171</v>
      </c>
    </row>
    <row r="515" spans="1:44" x14ac:dyDescent="0.3">
      <c r="C515" s="6" t="s">
        <v>7</v>
      </c>
      <c r="D515" s="10">
        <v>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f>SUM(D515:O515)</f>
        <v>0</v>
      </c>
      <c r="Q515" s="10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f>SUM(Q515:AB515)</f>
        <v>0</v>
      </c>
      <c r="AD515" s="10">
        <v>0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0</v>
      </c>
      <c r="AM515" s="10">
        <v>0</v>
      </c>
      <c r="AN515" s="10">
        <v>0</v>
      </c>
      <c r="AO515" s="55">
        <v>0</v>
      </c>
      <c r="AP515" s="10">
        <f>SUM(AD515:AO515)</f>
        <v>0</v>
      </c>
    </row>
    <row r="516" spans="1:44" x14ac:dyDescent="0.3">
      <c r="C516" s="6" t="s">
        <v>8</v>
      </c>
      <c r="D516" s="9">
        <v>250</v>
      </c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10">
        <f>SUM(D516:O516)</f>
        <v>250</v>
      </c>
      <c r="Q516" s="9">
        <v>250</v>
      </c>
      <c r="AC516" s="10">
        <f>SUM(Q516:AB516)</f>
        <v>250</v>
      </c>
      <c r="AD516" s="9">
        <v>250</v>
      </c>
      <c r="AE516" s="9"/>
      <c r="AF516" s="9"/>
      <c r="AG516" s="9"/>
      <c r="AH516" s="9"/>
      <c r="AI516" s="9"/>
      <c r="AJ516" s="9"/>
      <c r="AK516" s="9"/>
      <c r="AL516" s="9"/>
      <c r="AM516" s="9"/>
      <c r="AN516" s="23"/>
      <c r="AO516" s="56"/>
      <c r="AP516" s="10">
        <f>SUM(AD516:AO516)</f>
        <v>250</v>
      </c>
    </row>
    <row r="517" spans="1:44" ht="13.5" thickBot="1" x14ac:dyDescent="0.35">
      <c r="C517" s="6" t="s">
        <v>9</v>
      </c>
      <c r="D517" s="9">
        <v>76337.111000000004</v>
      </c>
      <c r="E517" s="9">
        <v>76337.73</v>
      </c>
      <c r="F517" s="9">
        <v>76337.02</v>
      </c>
      <c r="G517" s="9">
        <v>76337</v>
      </c>
      <c r="H517" s="9">
        <v>76337.66</v>
      </c>
      <c r="I517" s="9">
        <v>76336.990000000005</v>
      </c>
      <c r="J517" s="9">
        <v>76336.990000000005</v>
      </c>
      <c r="K517" s="9">
        <v>76337.67</v>
      </c>
      <c r="L517" s="9">
        <v>76337.02</v>
      </c>
      <c r="M517" s="9">
        <v>76337.039999999994</v>
      </c>
      <c r="N517" s="9">
        <v>76337.73</v>
      </c>
      <c r="O517" s="9">
        <v>76337.08</v>
      </c>
      <c r="P517" s="10">
        <f>SUM(D517:O517)</f>
        <v>916047.04100000008</v>
      </c>
      <c r="Q517" s="9">
        <v>76337.11</v>
      </c>
      <c r="R517" s="9">
        <v>76336.800000000003</v>
      </c>
      <c r="S517" s="9">
        <v>76337.149999999994</v>
      </c>
      <c r="T517" s="9">
        <v>76337.17</v>
      </c>
      <c r="U517" s="9">
        <v>76336.850000000006</v>
      </c>
      <c r="V517" s="9">
        <v>76337.19</v>
      </c>
      <c r="W517" s="9">
        <v>76337.19</v>
      </c>
      <c r="X517" s="9">
        <v>76336.84</v>
      </c>
      <c r="Y517" s="9">
        <v>76337.149999999994</v>
      </c>
      <c r="Z517" s="9">
        <v>76337.119999999995</v>
      </c>
      <c r="AA517" s="9">
        <v>76337.149999999994</v>
      </c>
      <c r="AB517" s="9">
        <v>76337.39</v>
      </c>
      <c r="AC517" s="10">
        <f>SUM(Q517:AB517)</f>
        <v>916045.11</v>
      </c>
      <c r="AD517" s="10">
        <v>76337.23</v>
      </c>
      <c r="AE517" s="10">
        <v>76337.744999999995</v>
      </c>
      <c r="AF517" s="10">
        <v>76336.929999999993</v>
      </c>
      <c r="AG517" s="10">
        <v>76336.78</v>
      </c>
      <c r="AH517" s="10">
        <v>76337.3</v>
      </c>
      <c r="AI517" s="10">
        <v>76337.48</v>
      </c>
      <c r="AJ517" s="10">
        <v>76337.320000000007</v>
      </c>
      <c r="AK517" s="10">
        <v>76336.83</v>
      </c>
      <c r="AL517" s="10">
        <v>76337</v>
      </c>
      <c r="AM517" s="10">
        <v>76336.83</v>
      </c>
      <c r="AN517" s="10">
        <v>76337.320000000007</v>
      </c>
      <c r="AO517" s="55">
        <v>76337.460000000006</v>
      </c>
      <c r="AP517" s="10">
        <f>SUM(AD517:AO517)</f>
        <v>916046.22499999986</v>
      </c>
      <c r="AR517" s="33"/>
    </row>
    <row r="518" spans="1:44" ht="13.5" thickBot="1" x14ac:dyDescent="0.35">
      <c r="C518" s="11" t="s">
        <v>172</v>
      </c>
      <c r="D518" s="12">
        <f t="shared" ref="D518:O518" si="317">SUM(D515:D517)</f>
        <v>76587.111000000004</v>
      </c>
      <c r="E518" s="12">
        <f t="shared" si="317"/>
        <v>76337.73</v>
      </c>
      <c r="F518" s="12">
        <f t="shared" si="317"/>
        <v>76337.02</v>
      </c>
      <c r="G518" s="12">
        <f t="shared" si="317"/>
        <v>76337</v>
      </c>
      <c r="H518" s="12">
        <f t="shared" si="317"/>
        <v>76337.66</v>
      </c>
      <c r="I518" s="12">
        <f t="shared" si="317"/>
        <v>76336.990000000005</v>
      </c>
      <c r="J518" s="12">
        <f t="shared" si="317"/>
        <v>76336.990000000005</v>
      </c>
      <c r="K518" s="12">
        <f t="shared" si="317"/>
        <v>76337.67</v>
      </c>
      <c r="L518" s="12">
        <f t="shared" si="317"/>
        <v>76337.02</v>
      </c>
      <c r="M518" s="12">
        <f t="shared" si="317"/>
        <v>76337.039999999994</v>
      </c>
      <c r="N518" s="12">
        <f t="shared" si="317"/>
        <v>76337.73</v>
      </c>
      <c r="O518" s="12">
        <f t="shared" si="317"/>
        <v>76337.08</v>
      </c>
      <c r="P518" s="12">
        <f>SUM(P515:P517)</f>
        <v>916297.04100000008</v>
      </c>
      <c r="Q518" s="12">
        <f t="shared" ref="Q518:AB518" si="318">SUM(Q515:Q517)</f>
        <v>76587.11</v>
      </c>
      <c r="R518" s="12">
        <f t="shared" si="318"/>
        <v>76336.800000000003</v>
      </c>
      <c r="S518" s="12">
        <f t="shared" si="318"/>
        <v>76337.149999999994</v>
      </c>
      <c r="T518" s="12">
        <f t="shared" si="318"/>
        <v>76337.17</v>
      </c>
      <c r="U518" s="12">
        <f t="shared" si="318"/>
        <v>76336.850000000006</v>
      </c>
      <c r="V518" s="12">
        <f t="shared" si="318"/>
        <v>76337.19</v>
      </c>
      <c r="W518" s="12">
        <f t="shared" si="318"/>
        <v>76337.19</v>
      </c>
      <c r="X518" s="12">
        <f t="shared" si="318"/>
        <v>76336.84</v>
      </c>
      <c r="Y518" s="12">
        <f t="shared" si="318"/>
        <v>76337.149999999994</v>
      </c>
      <c r="Z518" s="12">
        <f t="shared" si="318"/>
        <v>76337.119999999995</v>
      </c>
      <c r="AA518" s="12">
        <f t="shared" si="318"/>
        <v>76337.149999999994</v>
      </c>
      <c r="AB518" s="12">
        <f t="shared" si="318"/>
        <v>76337.39</v>
      </c>
      <c r="AC518" s="12">
        <f>SUM(AC515:AC517)</f>
        <v>916295.11</v>
      </c>
      <c r="AD518" s="12">
        <f>SUM(AD515:AD517)</f>
        <v>76587.23</v>
      </c>
      <c r="AE518" s="12">
        <f>SUM(AE515:AE517)</f>
        <v>76337.744999999995</v>
      </c>
      <c r="AF518" s="12">
        <f t="shared" ref="AF518:AO518" si="319">SUM(AF515:AF517)</f>
        <v>76336.929999999993</v>
      </c>
      <c r="AG518" s="12">
        <f t="shared" si="319"/>
        <v>76336.78</v>
      </c>
      <c r="AH518" s="12">
        <f t="shared" si="319"/>
        <v>76337.3</v>
      </c>
      <c r="AI518" s="12">
        <f t="shared" si="319"/>
        <v>76337.48</v>
      </c>
      <c r="AJ518" s="12">
        <f t="shared" si="319"/>
        <v>76337.320000000007</v>
      </c>
      <c r="AK518" s="12">
        <f t="shared" si="319"/>
        <v>76336.83</v>
      </c>
      <c r="AL518" s="12">
        <f t="shared" si="319"/>
        <v>76337</v>
      </c>
      <c r="AM518" s="12">
        <f t="shared" si="319"/>
        <v>76336.83</v>
      </c>
      <c r="AN518" s="12">
        <f t="shared" si="319"/>
        <v>76337.320000000007</v>
      </c>
      <c r="AO518" s="57">
        <f t="shared" si="319"/>
        <v>76337.460000000006</v>
      </c>
      <c r="AP518" s="12">
        <f>SUM(AP515:AP517)</f>
        <v>916296.22499999986</v>
      </c>
    </row>
    <row r="519" spans="1:44" x14ac:dyDescent="0.3">
      <c r="C519" s="13"/>
    </row>
    <row r="520" spans="1:44" ht="15.5" x14ac:dyDescent="0.35">
      <c r="A520" s="18">
        <f>+A514+1</f>
        <v>57</v>
      </c>
      <c r="C520" s="22" t="s">
        <v>173</v>
      </c>
    </row>
    <row r="521" spans="1:44" x14ac:dyDescent="0.3">
      <c r="C521" s="6" t="s">
        <v>7</v>
      </c>
      <c r="D521" s="10">
        <v>2897.92</v>
      </c>
      <c r="E521" s="10">
        <v>2897.92</v>
      </c>
      <c r="F521" s="10">
        <v>2897.92</v>
      </c>
      <c r="G521" s="10">
        <v>2897.92</v>
      </c>
      <c r="H521" s="10">
        <v>2897.92</v>
      </c>
      <c r="I521" s="10">
        <v>2897.92</v>
      </c>
      <c r="J521" s="10">
        <v>2897.92</v>
      </c>
      <c r="K521" s="10">
        <v>2897.92</v>
      </c>
      <c r="L521" s="10">
        <v>2897.92</v>
      </c>
      <c r="M521" s="10">
        <v>2897.92</v>
      </c>
      <c r="N521" s="10">
        <v>2897.92</v>
      </c>
      <c r="O521" s="10">
        <v>2897.92</v>
      </c>
      <c r="P521" s="10">
        <f>SUM(D521:O521)</f>
        <v>34775.039999999994</v>
      </c>
      <c r="Q521" s="10">
        <v>2897.92</v>
      </c>
      <c r="R521" s="10">
        <v>2897.92</v>
      </c>
      <c r="S521" s="10">
        <v>2897.92</v>
      </c>
      <c r="T521" s="10">
        <v>2897.92</v>
      </c>
      <c r="U521" s="10">
        <v>2897.92</v>
      </c>
      <c r="V521" s="10">
        <v>2897.92</v>
      </c>
      <c r="W521" s="10">
        <v>2897.92</v>
      </c>
      <c r="X521" s="10">
        <v>2897.92</v>
      </c>
      <c r="Y521" s="10">
        <v>2897.92</v>
      </c>
      <c r="Z521" s="10">
        <v>2860.83</v>
      </c>
      <c r="AA521" s="10">
        <v>2860.83</v>
      </c>
      <c r="AB521" s="10">
        <v>2860.83</v>
      </c>
      <c r="AC521" s="10">
        <f>SUM(Q521:AB521)</f>
        <v>34663.770000000004</v>
      </c>
      <c r="AD521" s="10">
        <v>2860.83</v>
      </c>
      <c r="AE521" s="10">
        <v>2860.83</v>
      </c>
      <c r="AF521" s="10">
        <v>2860.83</v>
      </c>
      <c r="AG521" s="10">
        <v>2860.83</v>
      </c>
      <c r="AH521" s="10">
        <v>2860.83</v>
      </c>
      <c r="AI521" s="10">
        <v>2860.83</v>
      </c>
      <c r="AJ521" s="10">
        <v>2860.83</v>
      </c>
      <c r="AK521" s="10">
        <v>2860.83</v>
      </c>
      <c r="AL521" s="10">
        <v>2860.83</v>
      </c>
      <c r="AM521" s="10">
        <v>2822.08</v>
      </c>
      <c r="AN521" s="10">
        <v>2822.08</v>
      </c>
      <c r="AO521" s="55">
        <v>2822.08</v>
      </c>
      <c r="AP521" s="10">
        <f>SUM(AD521:AO521)</f>
        <v>34213.710000000006</v>
      </c>
    </row>
    <row r="522" spans="1:44" x14ac:dyDescent="0.3">
      <c r="C522" s="6" t="s">
        <v>8</v>
      </c>
      <c r="D522" s="9">
        <v>250</v>
      </c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10">
        <f>SUM(D522:O522)</f>
        <v>250</v>
      </c>
      <c r="Q522" s="9">
        <v>250</v>
      </c>
      <c r="AC522" s="10">
        <f>SUM(Q522:AB522)</f>
        <v>250</v>
      </c>
      <c r="AD522" s="9">
        <v>250</v>
      </c>
      <c r="AE522" s="9"/>
      <c r="AF522" s="9"/>
      <c r="AG522" s="9"/>
      <c r="AH522" s="9"/>
      <c r="AI522" s="9"/>
      <c r="AJ522" s="9"/>
      <c r="AK522" s="9"/>
      <c r="AL522" s="9"/>
      <c r="AM522" s="9"/>
      <c r="AN522" s="23"/>
      <c r="AO522" s="56"/>
      <c r="AP522" s="10">
        <f>SUM(AD522:AO522)</f>
        <v>250</v>
      </c>
    </row>
    <row r="523" spans="1:44" ht="13.5" thickBot="1" x14ac:dyDescent="0.35">
      <c r="C523" s="6" t="s">
        <v>9</v>
      </c>
      <c r="D523" s="10">
        <v>140451.56</v>
      </c>
      <c r="E523" s="10">
        <v>140451.57999999999</v>
      </c>
      <c r="F523" s="10">
        <v>140451.56</v>
      </c>
      <c r="G523" s="10">
        <v>140451.56</v>
      </c>
      <c r="H523" s="10">
        <v>140451.56</v>
      </c>
      <c r="I523" s="10">
        <v>140451.56</v>
      </c>
      <c r="J523" s="10">
        <v>140451.56</v>
      </c>
      <c r="K523" s="10">
        <v>140451.57999999999</v>
      </c>
      <c r="L523" s="9">
        <f>37083.33+140451.56</f>
        <v>177534.89</v>
      </c>
      <c r="M523" s="9">
        <f>37083.33+140451.56</f>
        <v>177534.89</v>
      </c>
      <c r="N523" s="9">
        <f>37083.33+140451.56</f>
        <v>177534.89</v>
      </c>
      <c r="O523" s="9">
        <f>37083.33+140451.56</f>
        <v>177534.89</v>
      </c>
      <c r="P523" s="10">
        <f>SUM(D523:O523)</f>
        <v>1833752.0800000005</v>
      </c>
      <c r="Q523" s="9">
        <f t="shared" ref="Q523:W523" si="320">37083.33+140451.56</f>
        <v>177534.89</v>
      </c>
      <c r="R523" s="9">
        <f>37083.33+140451.58</f>
        <v>177534.90999999997</v>
      </c>
      <c r="S523" s="9">
        <f t="shared" si="320"/>
        <v>177534.89</v>
      </c>
      <c r="T523" s="9">
        <f t="shared" si="320"/>
        <v>177534.89</v>
      </c>
      <c r="U523" s="9">
        <f t="shared" si="320"/>
        <v>177534.89</v>
      </c>
      <c r="V523" s="9">
        <f t="shared" si="320"/>
        <v>177534.89</v>
      </c>
      <c r="W523" s="9">
        <f t="shared" si="320"/>
        <v>177534.89</v>
      </c>
      <c r="X523" s="9">
        <f>37083.37+140451.58</f>
        <v>177534.94999999998</v>
      </c>
      <c r="Y523" s="9">
        <f>38750+138736.46</f>
        <v>177486.46</v>
      </c>
      <c r="Z523" s="9">
        <f>38750+138736.46</f>
        <v>177486.46</v>
      </c>
      <c r="AA523" s="9">
        <f>38750+138736.46</f>
        <v>177486.46</v>
      </c>
      <c r="AB523" s="9">
        <f>38750+138736.46</f>
        <v>177486.46</v>
      </c>
      <c r="AC523" s="10">
        <f>SUM(Q523:AB523)</f>
        <v>2130225.04</v>
      </c>
      <c r="AD523" s="9">
        <f t="shared" ref="AD523:AJ523" si="321">38750+138736.46</f>
        <v>177486.46</v>
      </c>
      <c r="AE523" s="9">
        <f>38750+138736.45</f>
        <v>177486.45</v>
      </c>
      <c r="AF523" s="9">
        <f t="shared" si="321"/>
        <v>177486.46</v>
      </c>
      <c r="AG523" s="9">
        <f t="shared" si="321"/>
        <v>177486.46</v>
      </c>
      <c r="AH523" s="9">
        <f t="shared" si="321"/>
        <v>177486.46</v>
      </c>
      <c r="AI523" s="9">
        <f t="shared" si="321"/>
        <v>177486.46</v>
      </c>
      <c r="AJ523" s="9">
        <f t="shared" si="321"/>
        <v>177486.46</v>
      </c>
      <c r="AK523" s="9">
        <f>38750+138736.45</f>
        <v>177486.45</v>
      </c>
      <c r="AL523" s="10">
        <f>40833.33+136944.27</f>
        <v>177777.59999999998</v>
      </c>
      <c r="AM523" s="10">
        <f>40833.33+136944.27</f>
        <v>177777.59999999998</v>
      </c>
      <c r="AN523" s="10">
        <f>40833.33+136944.27</f>
        <v>177777.59999999998</v>
      </c>
      <c r="AO523" s="55">
        <f>40833.33+136944.27</f>
        <v>177777.59999999998</v>
      </c>
      <c r="AP523" s="10">
        <f>SUM(AD523:AO523)</f>
        <v>2131002.06</v>
      </c>
      <c r="AR523" s="33"/>
    </row>
    <row r="524" spans="1:44" ht="13.5" thickBot="1" x14ac:dyDescent="0.35">
      <c r="C524" s="11" t="s">
        <v>174</v>
      </c>
      <c r="D524" s="12">
        <f t="shared" ref="D524:O524" si="322">SUM(D521:D523)</f>
        <v>143599.48000000001</v>
      </c>
      <c r="E524" s="12">
        <f t="shared" si="322"/>
        <v>143349.5</v>
      </c>
      <c r="F524" s="12">
        <f t="shared" si="322"/>
        <v>143349.48000000001</v>
      </c>
      <c r="G524" s="12">
        <f t="shared" si="322"/>
        <v>143349.48000000001</v>
      </c>
      <c r="H524" s="12">
        <f t="shared" si="322"/>
        <v>143349.48000000001</v>
      </c>
      <c r="I524" s="12">
        <f t="shared" si="322"/>
        <v>143349.48000000001</v>
      </c>
      <c r="J524" s="12">
        <f t="shared" si="322"/>
        <v>143349.48000000001</v>
      </c>
      <c r="K524" s="12">
        <f t="shared" si="322"/>
        <v>143349.5</v>
      </c>
      <c r="L524" s="12">
        <f t="shared" si="322"/>
        <v>180432.81000000003</v>
      </c>
      <c r="M524" s="12">
        <f t="shared" si="322"/>
        <v>180432.81000000003</v>
      </c>
      <c r="N524" s="12">
        <f t="shared" si="322"/>
        <v>180432.81000000003</v>
      </c>
      <c r="O524" s="12">
        <f t="shared" si="322"/>
        <v>180432.81000000003</v>
      </c>
      <c r="P524" s="12">
        <f>SUM(P521:P523)</f>
        <v>1868777.1200000006</v>
      </c>
      <c r="Q524" s="12">
        <f t="shared" ref="Q524:AB524" si="323">SUM(Q521:Q523)</f>
        <v>180682.81000000003</v>
      </c>
      <c r="R524" s="12">
        <f t="shared" si="323"/>
        <v>180432.83</v>
      </c>
      <c r="S524" s="12">
        <f t="shared" si="323"/>
        <v>180432.81000000003</v>
      </c>
      <c r="T524" s="12">
        <f t="shared" si="323"/>
        <v>180432.81000000003</v>
      </c>
      <c r="U524" s="12">
        <f t="shared" si="323"/>
        <v>180432.81000000003</v>
      </c>
      <c r="V524" s="12">
        <f t="shared" si="323"/>
        <v>180432.81000000003</v>
      </c>
      <c r="W524" s="12">
        <f t="shared" si="323"/>
        <v>180432.81000000003</v>
      </c>
      <c r="X524" s="12">
        <f t="shared" si="323"/>
        <v>180432.87</v>
      </c>
      <c r="Y524" s="12">
        <f t="shared" si="323"/>
        <v>180384.38</v>
      </c>
      <c r="Z524" s="12">
        <f t="shared" si="323"/>
        <v>180347.28999999998</v>
      </c>
      <c r="AA524" s="12">
        <f t="shared" si="323"/>
        <v>180347.28999999998</v>
      </c>
      <c r="AB524" s="12">
        <f t="shared" si="323"/>
        <v>180347.28999999998</v>
      </c>
      <c r="AC524" s="12">
        <f>SUM(AC521:AC523)</f>
        <v>2165138.81</v>
      </c>
      <c r="AD524" s="12">
        <f>SUM(AD521:AD523)</f>
        <v>180597.28999999998</v>
      </c>
      <c r="AE524" s="12">
        <f>SUM(AE521:AE523)</f>
        <v>180347.28</v>
      </c>
      <c r="AF524" s="12">
        <f t="shared" ref="AF524:AO524" si="324">SUM(AF521:AF523)</f>
        <v>180347.28999999998</v>
      </c>
      <c r="AG524" s="12">
        <f t="shared" si="324"/>
        <v>180347.28999999998</v>
      </c>
      <c r="AH524" s="12">
        <f t="shared" si="324"/>
        <v>180347.28999999998</v>
      </c>
      <c r="AI524" s="12">
        <f t="shared" si="324"/>
        <v>180347.28999999998</v>
      </c>
      <c r="AJ524" s="12">
        <f t="shared" si="324"/>
        <v>180347.28999999998</v>
      </c>
      <c r="AK524" s="12">
        <f t="shared" si="324"/>
        <v>180347.28</v>
      </c>
      <c r="AL524" s="12">
        <f t="shared" si="324"/>
        <v>180638.42999999996</v>
      </c>
      <c r="AM524" s="12">
        <f t="shared" si="324"/>
        <v>180599.67999999996</v>
      </c>
      <c r="AN524" s="12">
        <f t="shared" si="324"/>
        <v>180599.67999999996</v>
      </c>
      <c r="AO524" s="57">
        <f t="shared" si="324"/>
        <v>180599.67999999996</v>
      </c>
      <c r="AP524" s="12">
        <f>SUM(AP521:AP523)</f>
        <v>2165465.77</v>
      </c>
    </row>
    <row r="525" spans="1:44" x14ac:dyDescent="0.3">
      <c r="C525" s="13"/>
    </row>
    <row r="526" spans="1:44" ht="15.5" x14ac:dyDescent="0.35">
      <c r="A526" s="18">
        <f>+A520+1</f>
        <v>58</v>
      </c>
      <c r="C526" s="22" t="s">
        <v>175</v>
      </c>
    </row>
    <row r="527" spans="1:44" x14ac:dyDescent="0.3">
      <c r="C527" s="6" t="s">
        <v>7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f>SUM(D527:O527)</f>
        <v>0</v>
      </c>
      <c r="Q527" s="10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f>SUM(Q527:AB527)</f>
        <v>0</v>
      </c>
      <c r="AD527" s="10">
        <v>0</v>
      </c>
      <c r="AE527" s="10">
        <v>0</v>
      </c>
      <c r="AF527" s="10">
        <v>0</v>
      </c>
      <c r="AG527" s="10">
        <v>0</v>
      </c>
      <c r="AH527" s="10">
        <v>0</v>
      </c>
      <c r="AI527" s="10">
        <v>0</v>
      </c>
      <c r="AJ527" s="10">
        <v>0</v>
      </c>
      <c r="AK527" s="10">
        <v>0</v>
      </c>
      <c r="AL527" s="10">
        <v>0</v>
      </c>
      <c r="AM527" s="10">
        <v>0</v>
      </c>
      <c r="AN527" s="10">
        <v>0</v>
      </c>
      <c r="AO527" s="55">
        <v>0</v>
      </c>
      <c r="AP527" s="10">
        <f>SUM(AD527:AO527)</f>
        <v>0</v>
      </c>
    </row>
    <row r="528" spans="1:44" x14ac:dyDescent="0.3">
      <c r="C528" s="6" t="s">
        <v>8</v>
      </c>
      <c r="D528" s="9">
        <v>250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10">
        <f>SUM(D528:O528)</f>
        <v>250</v>
      </c>
      <c r="Q528" s="9">
        <v>250</v>
      </c>
      <c r="AC528" s="10">
        <f>SUM(Q528:AB528)</f>
        <v>250</v>
      </c>
      <c r="AD528" s="9">
        <v>250</v>
      </c>
      <c r="AE528" s="9"/>
      <c r="AF528" s="9"/>
      <c r="AG528" s="9"/>
      <c r="AH528" s="9"/>
      <c r="AI528" s="9"/>
      <c r="AJ528" s="9"/>
      <c r="AK528" s="9"/>
      <c r="AL528" s="9"/>
      <c r="AM528" s="9"/>
      <c r="AN528" s="23"/>
      <c r="AO528" s="56"/>
      <c r="AP528" s="10">
        <f>SUM(AD528:AO528)</f>
        <v>250</v>
      </c>
    </row>
    <row r="529" spans="1:44" ht="13.5" thickBot="1" x14ac:dyDescent="0.35">
      <c r="C529" s="6" t="s">
        <v>9</v>
      </c>
      <c r="D529" s="10">
        <v>18702.38</v>
      </c>
      <c r="E529" s="10">
        <v>18702.38</v>
      </c>
      <c r="F529" s="10">
        <v>18702.38</v>
      </c>
      <c r="G529" s="10">
        <v>18702.38</v>
      </c>
      <c r="H529" s="10">
        <v>18702.38</v>
      </c>
      <c r="I529" s="10">
        <v>18702.38</v>
      </c>
      <c r="J529" s="10">
        <v>18702.38</v>
      </c>
      <c r="K529" s="10">
        <v>18702.38</v>
      </c>
      <c r="L529" s="10">
        <v>18702.38</v>
      </c>
      <c r="M529" s="10">
        <v>18702.38</v>
      </c>
      <c r="N529" s="10">
        <v>18702.38</v>
      </c>
      <c r="O529" s="10">
        <v>18702.38</v>
      </c>
      <c r="P529" s="10">
        <f>SUM(D529:O529)</f>
        <v>224428.56000000003</v>
      </c>
      <c r="Q529" s="10">
        <v>18702.38</v>
      </c>
      <c r="R529" s="10">
        <v>18702.38</v>
      </c>
      <c r="S529" s="10">
        <v>18702.38</v>
      </c>
      <c r="T529" s="10">
        <v>18702.38</v>
      </c>
      <c r="U529" s="10">
        <v>18702.38</v>
      </c>
      <c r="V529" s="10">
        <v>18702.38</v>
      </c>
      <c r="W529" s="10">
        <v>18702.38</v>
      </c>
      <c r="X529" s="10">
        <v>18702.38</v>
      </c>
      <c r="Y529" s="10">
        <v>18702.38</v>
      </c>
      <c r="Z529" s="10">
        <v>18702.38</v>
      </c>
      <c r="AA529" s="10">
        <v>18702.38</v>
      </c>
      <c r="AB529" s="10">
        <v>18702.38</v>
      </c>
      <c r="AC529" s="10">
        <f>SUM(Q529:AB529)</f>
        <v>224428.56000000003</v>
      </c>
      <c r="AD529" s="10">
        <v>18702.38</v>
      </c>
      <c r="AE529" s="10">
        <v>18702.38</v>
      </c>
      <c r="AF529" s="10">
        <v>18702.38</v>
      </c>
      <c r="AG529" s="10">
        <v>18702.38</v>
      </c>
      <c r="AH529" s="10">
        <v>18702.38</v>
      </c>
      <c r="AI529" s="10">
        <v>18702.38</v>
      </c>
      <c r="AJ529" s="10">
        <v>18702.38</v>
      </c>
      <c r="AK529" s="10">
        <v>18702.38</v>
      </c>
      <c r="AL529" s="10">
        <v>18702.38</v>
      </c>
      <c r="AM529" s="10">
        <v>18702.38</v>
      </c>
      <c r="AN529" s="10">
        <v>18702.38</v>
      </c>
      <c r="AO529" s="55">
        <v>18702.38</v>
      </c>
      <c r="AP529" s="10">
        <f>SUM(AD529:AO529)</f>
        <v>224428.56000000003</v>
      </c>
      <c r="AR529" s="33"/>
    </row>
    <row r="530" spans="1:44" ht="13.5" thickBot="1" x14ac:dyDescent="0.35">
      <c r="C530" s="11" t="s">
        <v>176</v>
      </c>
      <c r="D530" s="12">
        <f t="shared" ref="D530:O530" si="325">SUM(D527:D529)</f>
        <v>18952.38</v>
      </c>
      <c r="E530" s="12">
        <f t="shared" si="325"/>
        <v>18702.38</v>
      </c>
      <c r="F530" s="12">
        <f t="shared" si="325"/>
        <v>18702.38</v>
      </c>
      <c r="G530" s="12">
        <f t="shared" si="325"/>
        <v>18702.38</v>
      </c>
      <c r="H530" s="12">
        <f t="shared" si="325"/>
        <v>18702.38</v>
      </c>
      <c r="I530" s="12">
        <f t="shared" si="325"/>
        <v>18702.38</v>
      </c>
      <c r="J530" s="12">
        <f t="shared" si="325"/>
        <v>18702.38</v>
      </c>
      <c r="K530" s="12">
        <f t="shared" si="325"/>
        <v>18702.38</v>
      </c>
      <c r="L530" s="12">
        <f t="shared" si="325"/>
        <v>18702.38</v>
      </c>
      <c r="M530" s="12">
        <f t="shared" si="325"/>
        <v>18702.38</v>
      </c>
      <c r="N530" s="12">
        <f t="shared" si="325"/>
        <v>18702.38</v>
      </c>
      <c r="O530" s="12">
        <f t="shared" si="325"/>
        <v>18702.38</v>
      </c>
      <c r="P530" s="12">
        <f>SUM(P527:P529)</f>
        <v>224678.56000000003</v>
      </c>
      <c r="Q530" s="12">
        <f t="shared" ref="Q530:AB530" si="326">SUM(Q527:Q529)</f>
        <v>18952.38</v>
      </c>
      <c r="R530" s="12">
        <f t="shared" si="326"/>
        <v>18702.38</v>
      </c>
      <c r="S530" s="12">
        <f t="shared" si="326"/>
        <v>18702.38</v>
      </c>
      <c r="T530" s="12">
        <f t="shared" si="326"/>
        <v>18702.38</v>
      </c>
      <c r="U530" s="12">
        <f t="shared" si="326"/>
        <v>18702.38</v>
      </c>
      <c r="V530" s="12">
        <f t="shared" si="326"/>
        <v>18702.38</v>
      </c>
      <c r="W530" s="12">
        <f t="shared" si="326"/>
        <v>18702.38</v>
      </c>
      <c r="X530" s="12">
        <f t="shared" si="326"/>
        <v>18702.38</v>
      </c>
      <c r="Y530" s="12">
        <f t="shared" si="326"/>
        <v>18702.38</v>
      </c>
      <c r="Z530" s="12">
        <f t="shared" si="326"/>
        <v>18702.38</v>
      </c>
      <c r="AA530" s="12">
        <f t="shared" si="326"/>
        <v>18702.38</v>
      </c>
      <c r="AB530" s="12">
        <f t="shared" si="326"/>
        <v>18702.38</v>
      </c>
      <c r="AC530" s="12">
        <f>SUM(AC527:AC529)</f>
        <v>224678.56000000003</v>
      </c>
      <c r="AD530" s="12">
        <f>SUM(AD527:AD529)</f>
        <v>18952.38</v>
      </c>
      <c r="AE530" s="12">
        <f>SUM(AE527:AE529)</f>
        <v>18702.38</v>
      </c>
      <c r="AF530" s="12">
        <f t="shared" ref="AF530:AO530" si="327">SUM(AF527:AF529)</f>
        <v>18702.38</v>
      </c>
      <c r="AG530" s="12">
        <f t="shared" si="327"/>
        <v>18702.38</v>
      </c>
      <c r="AH530" s="12">
        <f t="shared" si="327"/>
        <v>18702.38</v>
      </c>
      <c r="AI530" s="12">
        <f t="shared" si="327"/>
        <v>18702.38</v>
      </c>
      <c r="AJ530" s="12">
        <f t="shared" si="327"/>
        <v>18702.38</v>
      </c>
      <c r="AK530" s="12">
        <f t="shared" si="327"/>
        <v>18702.38</v>
      </c>
      <c r="AL530" s="12">
        <f t="shared" si="327"/>
        <v>18702.38</v>
      </c>
      <c r="AM530" s="12">
        <f t="shared" si="327"/>
        <v>18702.38</v>
      </c>
      <c r="AN530" s="12">
        <f t="shared" si="327"/>
        <v>18702.38</v>
      </c>
      <c r="AO530" s="57">
        <f t="shared" si="327"/>
        <v>18702.38</v>
      </c>
      <c r="AP530" s="12">
        <f>SUM(AP527:AP529)</f>
        <v>224678.56000000003</v>
      </c>
    </row>
    <row r="531" spans="1:44" x14ac:dyDescent="0.3">
      <c r="C531" s="13"/>
    </row>
    <row r="532" spans="1:44" ht="15.5" x14ac:dyDescent="0.35">
      <c r="A532" s="18"/>
      <c r="B532" s="25" t="s">
        <v>5</v>
      </c>
      <c r="C532" s="8" t="s">
        <v>177</v>
      </c>
    </row>
    <row r="533" spans="1:44" x14ac:dyDescent="0.3">
      <c r="C533" s="6" t="s">
        <v>7</v>
      </c>
      <c r="D533" s="10">
        <v>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/>
      <c r="L533" s="10"/>
      <c r="M533" s="10"/>
      <c r="N533" s="10"/>
      <c r="O533" s="10"/>
      <c r="P533" s="10">
        <f>SUM(D533:O533)</f>
        <v>0</v>
      </c>
    </row>
    <row r="534" spans="1:44" x14ac:dyDescent="0.3">
      <c r="C534" s="6" t="s">
        <v>8</v>
      </c>
      <c r="D534" s="9">
        <v>250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10">
        <f>SUM(D534:O534)</f>
        <v>250</v>
      </c>
    </row>
    <row r="535" spans="1:44" ht="13.5" thickBot="1" x14ac:dyDescent="0.35">
      <c r="C535" s="6" t="s">
        <v>9</v>
      </c>
      <c r="D535" s="9">
        <f t="shared" ref="D535:I535" si="328">20172.92+32611.23</f>
        <v>52784.149999999994</v>
      </c>
      <c r="E535" s="9">
        <f t="shared" si="328"/>
        <v>52784.149999999994</v>
      </c>
      <c r="F535" s="9">
        <f t="shared" si="328"/>
        <v>52784.149999999994</v>
      </c>
      <c r="G535" s="9">
        <f t="shared" si="328"/>
        <v>52784.149999999994</v>
      </c>
      <c r="H535" s="9">
        <f t="shared" si="328"/>
        <v>52784.149999999994</v>
      </c>
      <c r="I535" s="9">
        <f t="shared" si="328"/>
        <v>52784.149999999994</v>
      </c>
      <c r="J535" s="9">
        <f>20172.92+32079.53</f>
        <v>52252.45</v>
      </c>
      <c r="K535" s="9"/>
      <c r="L535" s="9"/>
      <c r="M535" s="9"/>
      <c r="N535" s="9"/>
      <c r="O535" s="9"/>
      <c r="P535" s="10">
        <f>SUM(D535:O535)</f>
        <v>368957.35000000003</v>
      </c>
    </row>
    <row r="536" spans="1:44" ht="13.5" thickBot="1" x14ac:dyDescent="0.35">
      <c r="C536" s="11" t="s">
        <v>178</v>
      </c>
      <c r="D536" s="12">
        <f t="shared" ref="D536:O536" si="329">SUM(D533:D535)</f>
        <v>53034.149999999994</v>
      </c>
      <c r="E536" s="12">
        <f t="shared" si="329"/>
        <v>52784.149999999994</v>
      </c>
      <c r="F536" s="12">
        <f t="shared" si="329"/>
        <v>52784.149999999994</v>
      </c>
      <c r="G536" s="12">
        <f t="shared" si="329"/>
        <v>52784.149999999994</v>
      </c>
      <c r="H536" s="12">
        <f t="shared" si="329"/>
        <v>52784.149999999994</v>
      </c>
      <c r="I536" s="12">
        <f t="shared" si="329"/>
        <v>52784.149999999994</v>
      </c>
      <c r="J536" s="12">
        <f t="shared" si="329"/>
        <v>52252.45</v>
      </c>
      <c r="K536" s="12">
        <f t="shared" si="329"/>
        <v>0</v>
      </c>
      <c r="L536" s="12">
        <f t="shared" si="329"/>
        <v>0</v>
      </c>
      <c r="M536" s="12">
        <f t="shared" si="329"/>
        <v>0</v>
      </c>
      <c r="N536" s="12">
        <f t="shared" si="329"/>
        <v>0</v>
      </c>
      <c r="O536" s="12">
        <f t="shared" si="329"/>
        <v>0</v>
      </c>
      <c r="P536" s="12">
        <f>SUM(P533:P535)</f>
        <v>369207.35000000003</v>
      </c>
    </row>
    <row r="537" spans="1:44" x14ac:dyDescent="0.3">
      <c r="C537" s="13"/>
    </row>
    <row r="538" spans="1:44" ht="15.5" x14ac:dyDescent="0.35">
      <c r="A538" s="18">
        <f>+A526+1</f>
        <v>59</v>
      </c>
      <c r="C538" s="22" t="s">
        <v>179</v>
      </c>
    </row>
    <row r="539" spans="1:44" x14ac:dyDescent="0.3">
      <c r="C539" s="6" t="s">
        <v>7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f>SUM(D539:O539)</f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f>SUM(Q539:AB539)</f>
        <v>0</v>
      </c>
      <c r="AD539" s="10">
        <v>0</v>
      </c>
      <c r="AE539" s="10">
        <v>0</v>
      </c>
      <c r="AF539" s="10">
        <v>0</v>
      </c>
      <c r="AG539" s="10">
        <v>0</v>
      </c>
      <c r="AH539" s="10">
        <v>0</v>
      </c>
      <c r="AI539" s="10">
        <v>0</v>
      </c>
      <c r="AJ539" s="10">
        <v>0</v>
      </c>
      <c r="AK539" s="10">
        <v>0</v>
      </c>
      <c r="AL539" s="10">
        <v>0</v>
      </c>
      <c r="AM539" s="10">
        <v>0</v>
      </c>
      <c r="AN539" s="10">
        <v>0</v>
      </c>
      <c r="AO539" s="55">
        <v>0</v>
      </c>
      <c r="AP539" s="10">
        <f>SUM(AD539:AO539)</f>
        <v>0</v>
      </c>
    </row>
    <row r="540" spans="1:44" x14ac:dyDescent="0.3">
      <c r="C540" s="6" t="s">
        <v>8</v>
      </c>
      <c r="D540" s="9">
        <v>250</v>
      </c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10">
        <f>SUM(D540:O540)</f>
        <v>250</v>
      </c>
      <c r="Q540" s="9">
        <v>250</v>
      </c>
      <c r="AC540" s="10">
        <f>SUM(Q540:AB540)</f>
        <v>250</v>
      </c>
      <c r="AD540" s="9">
        <v>250</v>
      </c>
      <c r="AE540" s="9"/>
      <c r="AF540" s="9"/>
      <c r="AG540" s="9"/>
      <c r="AH540" s="9"/>
      <c r="AI540" s="9"/>
      <c r="AJ540" s="9"/>
      <c r="AK540" s="9"/>
      <c r="AL540" s="9"/>
      <c r="AM540" s="9"/>
      <c r="AN540" s="23"/>
      <c r="AO540" s="56"/>
      <c r="AP540" s="10">
        <f>SUM(AD540:AO540)</f>
        <v>250</v>
      </c>
    </row>
    <row r="541" spans="1:44" ht="13.5" thickBot="1" x14ac:dyDescent="0.35">
      <c r="C541" s="6" t="s">
        <v>9</v>
      </c>
      <c r="D541" s="10">
        <f t="shared" ref="D541:M541" si="330">36666.67+94818.75</f>
        <v>131485.41999999998</v>
      </c>
      <c r="E541" s="10">
        <f t="shared" si="330"/>
        <v>131485.41999999998</v>
      </c>
      <c r="F541" s="10">
        <f t="shared" si="330"/>
        <v>131485.41999999998</v>
      </c>
      <c r="G541" s="10">
        <f t="shared" si="330"/>
        <v>131485.41999999998</v>
      </c>
      <c r="H541" s="10">
        <f t="shared" si="330"/>
        <v>131485.41999999998</v>
      </c>
      <c r="I541" s="10">
        <f t="shared" si="330"/>
        <v>131485.41999999998</v>
      </c>
      <c r="J541" s="10">
        <f t="shared" si="330"/>
        <v>131485.41999999998</v>
      </c>
      <c r="K541" s="10">
        <f t="shared" si="330"/>
        <v>131485.41999999998</v>
      </c>
      <c r="L541" s="10">
        <f t="shared" si="330"/>
        <v>131485.41999999998</v>
      </c>
      <c r="M541" s="10">
        <f t="shared" si="330"/>
        <v>131485.41999999998</v>
      </c>
      <c r="N541" s="10">
        <f>36666.63+94818.75</f>
        <v>131485.38</v>
      </c>
      <c r="O541" s="9">
        <f>38333.33+93168.75</f>
        <v>131502.08000000002</v>
      </c>
      <c r="P541" s="10">
        <f>SUM(D541:O541)</f>
        <v>1577841.6599999997</v>
      </c>
      <c r="Q541" s="9">
        <f t="shared" ref="Q541:Z541" si="331">38333.33+93168.75</f>
        <v>131502.08000000002</v>
      </c>
      <c r="R541" s="9">
        <f t="shared" si="331"/>
        <v>131502.08000000002</v>
      </c>
      <c r="S541" s="9">
        <f t="shared" si="331"/>
        <v>131502.08000000002</v>
      </c>
      <c r="T541" s="9">
        <f t="shared" si="331"/>
        <v>131502.08000000002</v>
      </c>
      <c r="U541" s="9">
        <f t="shared" si="331"/>
        <v>131502.08000000002</v>
      </c>
      <c r="V541" s="9">
        <f t="shared" si="331"/>
        <v>131502.08000000002</v>
      </c>
      <c r="W541" s="9">
        <f t="shared" si="331"/>
        <v>131502.08000000002</v>
      </c>
      <c r="X541" s="9">
        <f t="shared" si="331"/>
        <v>131502.08000000002</v>
      </c>
      <c r="Y541" s="9">
        <f t="shared" si="331"/>
        <v>131502.08000000002</v>
      </c>
      <c r="Z541" s="9">
        <f t="shared" si="331"/>
        <v>131502.08000000002</v>
      </c>
      <c r="AA541" s="9">
        <f>38333.37+93168.75</f>
        <v>131502.12</v>
      </c>
      <c r="AB541" s="9">
        <f>40000+91443.75</f>
        <v>131443.75</v>
      </c>
      <c r="AC541" s="10">
        <f>SUM(Q541:AB541)</f>
        <v>1577966.6700000004</v>
      </c>
      <c r="AD541" s="9">
        <f t="shared" ref="AD541:AN541" si="332">40000+91443.75</f>
        <v>131443.75</v>
      </c>
      <c r="AE541" s="9">
        <f t="shared" si="332"/>
        <v>131443.75</v>
      </c>
      <c r="AF541" s="9">
        <f t="shared" si="332"/>
        <v>131443.75</v>
      </c>
      <c r="AG541" s="9">
        <f t="shared" si="332"/>
        <v>131443.75</v>
      </c>
      <c r="AH541" s="9">
        <f t="shared" si="332"/>
        <v>131443.75</v>
      </c>
      <c r="AI541" s="9">
        <f t="shared" si="332"/>
        <v>131443.75</v>
      </c>
      <c r="AJ541" s="9">
        <f t="shared" si="332"/>
        <v>131443.75</v>
      </c>
      <c r="AK541" s="9">
        <f t="shared" si="332"/>
        <v>131443.75</v>
      </c>
      <c r="AL541" s="9">
        <f t="shared" si="332"/>
        <v>131443.75</v>
      </c>
      <c r="AM541" s="9">
        <f t="shared" si="332"/>
        <v>131443.75</v>
      </c>
      <c r="AN541" s="23">
        <f t="shared" si="332"/>
        <v>131443.75</v>
      </c>
      <c r="AO541" s="55">
        <f>42083.33+89643.75</f>
        <v>131727.08000000002</v>
      </c>
      <c r="AP541" s="10">
        <f>SUM(AD541:AO541)</f>
        <v>1577608.33</v>
      </c>
      <c r="AR541" s="33"/>
    </row>
    <row r="542" spans="1:44" ht="13.5" thickBot="1" x14ac:dyDescent="0.35">
      <c r="C542" s="11" t="s">
        <v>180</v>
      </c>
      <c r="D542" s="12">
        <f t="shared" ref="D542:O542" si="333">SUM(D539:D541)</f>
        <v>131735.41999999998</v>
      </c>
      <c r="E542" s="12">
        <f t="shared" si="333"/>
        <v>131485.41999999998</v>
      </c>
      <c r="F542" s="12">
        <f t="shared" si="333"/>
        <v>131485.41999999998</v>
      </c>
      <c r="G542" s="12">
        <f t="shared" si="333"/>
        <v>131485.41999999998</v>
      </c>
      <c r="H542" s="12">
        <f t="shared" si="333"/>
        <v>131485.41999999998</v>
      </c>
      <c r="I542" s="12">
        <f t="shared" si="333"/>
        <v>131485.41999999998</v>
      </c>
      <c r="J542" s="12">
        <f t="shared" si="333"/>
        <v>131485.41999999998</v>
      </c>
      <c r="K542" s="12">
        <f t="shared" si="333"/>
        <v>131485.41999999998</v>
      </c>
      <c r="L542" s="12">
        <f t="shared" si="333"/>
        <v>131485.41999999998</v>
      </c>
      <c r="M542" s="12">
        <f t="shared" si="333"/>
        <v>131485.41999999998</v>
      </c>
      <c r="N542" s="12">
        <f t="shared" si="333"/>
        <v>131485.38</v>
      </c>
      <c r="O542" s="12">
        <f t="shared" si="333"/>
        <v>131502.08000000002</v>
      </c>
      <c r="P542" s="12">
        <f>SUM(P539:P541)</f>
        <v>1578091.6599999997</v>
      </c>
      <c r="Q542" s="12">
        <f t="shared" ref="Q542:AB542" si="334">SUM(Q539:Q541)</f>
        <v>131752.08000000002</v>
      </c>
      <c r="R542" s="12">
        <f t="shared" si="334"/>
        <v>131502.08000000002</v>
      </c>
      <c r="S542" s="12">
        <f t="shared" si="334"/>
        <v>131502.08000000002</v>
      </c>
      <c r="T542" s="12">
        <f t="shared" si="334"/>
        <v>131502.08000000002</v>
      </c>
      <c r="U542" s="12">
        <f t="shared" si="334"/>
        <v>131502.08000000002</v>
      </c>
      <c r="V542" s="12">
        <f t="shared" si="334"/>
        <v>131502.08000000002</v>
      </c>
      <c r="W542" s="12">
        <f t="shared" si="334"/>
        <v>131502.08000000002</v>
      </c>
      <c r="X542" s="12">
        <f t="shared" si="334"/>
        <v>131502.08000000002</v>
      </c>
      <c r="Y542" s="12">
        <f t="shared" si="334"/>
        <v>131502.08000000002</v>
      </c>
      <c r="Z542" s="12">
        <f t="shared" si="334"/>
        <v>131502.08000000002</v>
      </c>
      <c r="AA542" s="12">
        <f t="shared" si="334"/>
        <v>131502.12</v>
      </c>
      <c r="AB542" s="12">
        <f t="shared" si="334"/>
        <v>131443.75</v>
      </c>
      <c r="AC542" s="12">
        <f>SUM(AC539:AC541)</f>
        <v>1578216.6700000004</v>
      </c>
      <c r="AD542" s="12">
        <f>SUM(AD539:AD541)</f>
        <v>131693.75</v>
      </c>
      <c r="AE542" s="12">
        <f>SUM(AE539:AE541)</f>
        <v>131443.75</v>
      </c>
      <c r="AF542" s="12">
        <f t="shared" ref="AF542:AO542" si="335">SUM(AF539:AF541)</f>
        <v>131443.75</v>
      </c>
      <c r="AG542" s="12">
        <f t="shared" si="335"/>
        <v>131443.75</v>
      </c>
      <c r="AH542" s="12">
        <f t="shared" si="335"/>
        <v>131443.75</v>
      </c>
      <c r="AI542" s="12">
        <f t="shared" si="335"/>
        <v>131443.75</v>
      </c>
      <c r="AJ542" s="12">
        <f t="shared" si="335"/>
        <v>131443.75</v>
      </c>
      <c r="AK542" s="12">
        <f t="shared" si="335"/>
        <v>131443.75</v>
      </c>
      <c r="AL542" s="12">
        <f t="shared" si="335"/>
        <v>131443.75</v>
      </c>
      <c r="AM542" s="12">
        <f t="shared" si="335"/>
        <v>131443.75</v>
      </c>
      <c r="AN542" s="12">
        <f t="shared" si="335"/>
        <v>131443.75</v>
      </c>
      <c r="AO542" s="57">
        <f t="shared" si="335"/>
        <v>131727.08000000002</v>
      </c>
      <c r="AP542" s="12">
        <f>SUM(AP539:AP541)</f>
        <v>1577858.33</v>
      </c>
    </row>
    <row r="543" spans="1:44" x14ac:dyDescent="0.3">
      <c r="C543" s="13"/>
    </row>
    <row r="544" spans="1:44" ht="15.5" x14ac:dyDescent="0.35">
      <c r="A544" s="18">
        <f>+A538+1</f>
        <v>60</v>
      </c>
      <c r="C544" s="22" t="s">
        <v>181</v>
      </c>
    </row>
    <row r="545" spans="1:44" x14ac:dyDescent="0.3">
      <c r="C545" s="6" t="s">
        <v>7</v>
      </c>
      <c r="D545" s="10">
        <v>4586.67</v>
      </c>
      <c r="E545" s="10">
        <v>4586.67</v>
      </c>
      <c r="F545" s="10">
        <v>4586.67</v>
      </c>
      <c r="G545" s="10">
        <v>4586.67</v>
      </c>
      <c r="H545" s="10">
        <v>4586.67</v>
      </c>
      <c r="I545" s="10">
        <v>4586.67</v>
      </c>
      <c r="J545" s="10">
        <v>4586.67</v>
      </c>
      <c r="K545" s="10">
        <v>4586.67</v>
      </c>
      <c r="L545" s="10">
        <v>4586.67</v>
      </c>
      <c r="M545" s="10">
        <v>4586.67</v>
      </c>
      <c r="N545" s="9">
        <v>4578.33</v>
      </c>
      <c r="O545" s="9">
        <v>4578.33</v>
      </c>
      <c r="P545" s="10">
        <f>SUM(D545:O545)</f>
        <v>55023.359999999993</v>
      </c>
      <c r="Q545" s="9">
        <v>4578.33</v>
      </c>
      <c r="R545" s="9">
        <v>4578.33</v>
      </c>
      <c r="S545" s="9">
        <v>4578.33</v>
      </c>
      <c r="T545" s="9">
        <v>4578.33</v>
      </c>
      <c r="U545" s="9">
        <v>4578.33</v>
      </c>
      <c r="V545" s="9">
        <v>4578.33</v>
      </c>
      <c r="W545" s="9">
        <v>4578.33</v>
      </c>
      <c r="X545" s="9">
        <v>4578.33</v>
      </c>
      <c r="Y545" s="9">
        <v>4578.33</v>
      </c>
      <c r="Z545" s="9">
        <v>4578.33</v>
      </c>
      <c r="AA545" s="9">
        <v>4553.33</v>
      </c>
      <c r="AB545" s="9">
        <v>4553.33</v>
      </c>
      <c r="AC545" s="10">
        <f>SUM(Q545:AB545)</f>
        <v>54889.960000000014</v>
      </c>
      <c r="AD545" s="9">
        <v>4553.33</v>
      </c>
      <c r="AE545" s="9">
        <v>4553.33</v>
      </c>
      <c r="AF545" s="9">
        <v>4553.33</v>
      </c>
      <c r="AG545" s="9">
        <v>4553.33</v>
      </c>
      <c r="AH545" s="9">
        <v>4553.33</v>
      </c>
      <c r="AI545" s="9">
        <v>4553.33</v>
      </c>
      <c r="AJ545" s="9">
        <v>4553.33</v>
      </c>
      <c r="AK545" s="9">
        <v>4553.33</v>
      </c>
      <c r="AL545" s="9">
        <v>4553.33</v>
      </c>
      <c r="AM545" s="9">
        <v>4553.33</v>
      </c>
      <c r="AN545" s="10">
        <v>4496.25</v>
      </c>
      <c r="AO545" s="55">
        <v>4496.25</v>
      </c>
      <c r="AP545" s="10">
        <f>SUM(AD545:AO545)</f>
        <v>54525.80000000001</v>
      </c>
    </row>
    <row r="546" spans="1:44" x14ac:dyDescent="0.3">
      <c r="C546" s="6" t="s">
        <v>8</v>
      </c>
      <c r="D546" s="9">
        <v>250</v>
      </c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10">
        <f>SUM(D546:O546)</f>
        <v>250</v>
      </c>
      <c r="Q546" s="9">
        <v>250</v>
      </c>
      <c r="AC546" s="10">
        <f>SUM(Q546:AB546)</f>
        <v>250</v>
      </c>
      <c r="AD546" s="9">
        <v>250</v>
      </c>
      <c r="AE546" s="9"/>
      <c r="AF546" s="9"/>
      <c r="AG546" s="9"/>
      <c r="AH546" s="9"/>
      <c r="AI546" s="9"/>
      <c r="AJ546" s="9"/>
      <c r="AK546" s="9"/>
      <c r="AL546" s="9"/>
      <c r="AM546" s="9"/>
      <c r="AN546" s="23"/>
      <c r="AO546" s="56"/>
      <c r="AP546" s="10">
        <f>SUM(AD546:AO546)</f>
        <v>250</v>
      </c>
    </row>
    <row r="547" spans="1:44" ht="13.5" thickBot="1" x14ac:dyDescent="0.35">
      <c r="C547" s="6" t="s">
        <v>9</v>
      </c>
      <c r="D547" s="9">
        <f>8333.33+228487.5</f>
        <v>236820.83</v>
      </c>
      <c r="E547" s="9">
        <f>8333.33+228487.5</f>
        <v>236820.83</v>
      </c>
      <c r="F547" s="9">
        <f>8333.33+228487.5</f>
        <v>236820.83</v>
      </c>
      <c r="G547" s="9">
        <f>8333.33+228487.5</f>
        <v>236820.83</v>
      </c>
      <c r="H547" s="9">
        <f>8333.37+228487.5</f>
        <v>236820.87</v>
      </c>
      <c r="I547" s="9">
        <f>25000+228070.83</f>
        <v>253070.83</v>
      </c>
      <c r="J547" s="9">
        <f t="shared" ref="J547:T547" si="336">25000+228070.83</f>
        <v>253070.83</v>
      </c>
      <c r="K547" s="9">
        <f t="shared" si="336"/>
        <v>253070.83</v>
      </c>
      <c r="L547" s="9">
        <f t="shared" si="336"/>
        <v>253070.83</v>
      </c>
      <c r="M547" s="9">
        <f t="shared" si="336"/>
        <v>253070.83</v>
      </c>
      <c r="N547" s="9">
        <f>25000+228070.85</f>
        <v>253070.85</v>
      </c>
      <c r="O547" s="9">
        <f t="shared" si="336"/>
        <v>253070.83</v>
      </c>
      <c r="P547" s="10">
        <f>SUM(D547:O547)</f>
        <v>2955600.0200000005</v>
      </c>
      <c r="Q547" s="9">
        <f t="shared" si="336"/>
        <v>253070.83</v>
      </c>
      <c r="R547" s="9">
        <f t="shared" si="336"/>
        <v>253070.83</v>
      </c>
      <c r="S547" s="9">
        <f t="shared" si="336"/>
        <v>253070.83</v>
      </c>
      <c r="T547" s="9">
        <f t="shared" si="336"/>
        <v>253070.83</v>
      </c>
      <c r="U547" s="9">
        <f>25000+228070.85</f>
        <v>253070.85</v>
      </c>
      <c r="V547" s="9">
        <f>57083.33+226820.83</f>
        <v>283904.15999999997</v>
      </c>
      <c r="W547" s="9">
        <f t="shared" ref="W547:AG547" si="337">57083.33+226820.83</f>
        <v>283904.15999999997</v>
      </c>
      <c r="X547" s="9">
        <f t="shared" si="337"/>
        <v>283904.15999999997</v>
      </c>
      <c r="Y547" s="9">
        <f t="shared" si="337"/>
        <v>283904.15999999997</v>
      </c>
      <c r="Z547" s="9">
        <f t="shared" si="337"/>
        <v>283904.15999999997</v>
      </c>
      <c r="AA547" s="9">
        <f>57083.33+226820.85</f>
        <v>283904.18</v>
      </c>
      <c r="AB547" s="9">
        <f t="shared" si="337"/>
        <v>283904.15999999997</v>
      </c>
      <c r="AC547" s="10">
        <f>SUM(Q547:AB547)</f>
        <v>3252683.3100000005</v>
      </c>
      <c r="AD547" s="9">
        <f t="shared" si="337"/>
        <v>283904.15999999997</v>
      </c>
      <c r="AE547" s="9">
        <f t="shared" si="337"/>
        <v>283904.15999999997</v>
      </c>
      <c r="AF547" s="9">
        <f t="shared" si="337"/>
        <v>283904.15999999997</v>
      </c>
      <c r="AG547" s="9">
        <f t="shared" si="337"/>
        <v>283904.15999999997</v>
      </c>
      <c r="AH547" s="9">
        <f>57083.37+226820.85</f>
        <v>283904.22000000003</v>
      </c>
      <c r="AI547" s="10">
        <f>60000+223966.67</f>
        <v>283966.67000000004</v>
      </c>
      <c r="AJ547" s="10">
        <f t="shared" ref="AJ547:AO547" si="338">60000+223966.67</f>
        <v>283966.67000000004</v>
      </c>
      <c r="AK547" s="10">
        <f t="shared" si="338"/>
        <v>283966.67000000004</v>
      </c>
      <c r="AL547" s="10">
        <f t="shared" si="338"/>
        <v>283966.67000000004</v>
      </c>
      <c r="AM547" s="10">
        <f t="shared" si="338"/>
        <v>283966.67000000004</v>
      </c>
      <c r="AN547" s="10">
        <f>60000+223966.65</f>
        <v>283966.65000000002</v>
      </c>
      <c r="AO547" s="55">
        <f t="shared" si="338"/>
        <v>283966.67000000004</v>
      </c>
      <c r="AP547" s="10">
        <f>SUM(AD547:AO547)</f>
        <v>3407287.5299999993</v>
      </c>
      <c r="AR547" s="33"/>
    </row>
    <row r="548" spans="1:44" ht="13.5" thickBot="1" x14ac:dyDescent="0.35">
      <c r="C548" s="11" t="s">
        <v>182</v>
      </c>
      <c r="D548" s="12">
        <f t="shared" ref="D548:O548" si="339">SUM(D545:D547)</f>
        <v>241657.5</v>
      </c>
      <c r="E548" s="12">
        <f t="shared" si="339"/>
        <v>241407.5</v>
      </c>
      <c r="F548" s="12">
        <f t="shared" si="339"/>
        <v>241407.5</v>
      </c>
      <c r="G548" s="12">
        <f t="shared" si="339"/>
        <v>241407.5</v>
      </c>
      <c r="H548" s="12">
        <f t="shared" si="339"/>
        <v>241407.54</v>
      </c>
      <c r="I548" s="12">
        <f t="shared" si="339"/>
        <v>257657.5</v>
      </c>
      <c r="J548" s="12">
        <f t="shared" si="339"/>
        <v>257657.5</v>
      </c>
      <c r="K548" s="12">
        <f t="shared" si="339"/>
        <v>257657.5</v>
      </c>
      <c r="L548" s="12">
        <f t="shared" si="339"/>
        <v>257657.5</v>
      </c>
      <c r="M548" s="12">
        <f t="shared" si="339"/>
        <v>257657.5</v>
      </c>
      <c r="N548" s="12">
        <f t="shared" si="339"/>
        <v>257649.18</v>
      </c>
      <c r="O548" s="12">
        <f t="shared" si="339"/>
        <v>257649.15999999997</v>
      </c>
      <c r="P548" s="12">
        <f>SUM(P545:P547)</f>
        <v>3010873.3800000004</v>
      </c>
      <c r="Q548" s="12">
        <f t="shared" ref="Q548:AB548" si="340">SUM(Q545:Q547)</f>
        <v>257899.15999999997</v>
      </c>
      <c r="R548" s="12">
        <f t="shared" si="340"/>
        <v>257649.15999999997</v>
      </c>
      <c r="S548" s="12">
        <f t="shared" si="340"/>
        <v>257649.15999999997</v>
      </c>
      <c r="T548" s="12">
        <f t="shared" si="340"/>
        <v>257649.15999999997</v>
      </c>
      <c r="U548" s="12">
        <f t="shared" si="340"/>
        <v>257649.18</v>
      </c>
      <c r="V548" s="12">
        <f t="shared" si="340"/>
        <v>288482.49</v>
      </c>
      <c r="W548" s="12">
        <f t="shared" si="340"/>
        <v>288482.49</v>
      </c>
      <c r="X548" s="12">
        <f t="shared" si="340"/>
        <v>288482.49</v>
      </c>
      <c r="Y548" s="12">
        <f t="shared" si="340"/>
        <v>288482.49</v>
      </c>
      <c r="Z548" s="12">
        <f t="shared" si="340"/>
        <v>288482.49</v>
      </c>
      <c r="AA548" s="12">
        <f t="shared" si="340"/>
        <v>288457.51</v>
      </c>
      <c r="AB548" s="12">
        <f t="shared" si="340"/>
        <v>288457.49</v>
      </c>
      <c r="AC548" s="12">
        <f>SUM(AC545:AC547)</f>
        <v>3307823.2700000005</v>
      </c>
      <c r="AD548" s="12">
        <f>SUM(AD545:AD547)</f>
        <v>288707.49</v>
      </c>
      <c r="AE548" s="12">
        <f>SUM(AE545:AE547)</f>
        <v>288457.49</v>
      </c>
      <c r="AF548" s="12">
        <f t="shared" ref="AF548:AO548" si="341">SUM(AF545:AF547)</f>
        <v>288457.49</v>
      </c>
      <c r="AG548" s="12">
        <f t="shared" si="341"/>
        <v>288457.49</v>
      </c>
      <c r="AH548" s="12">
        <f t="shared" si="341"/>
        <v>288457.55000000005</v>
      </c>
      <c r="AI548" s="12">
        <f t="shared" si="341"/>
        <v>288520.00000000006</v>
      </c>
      <c r="AJ548" s="12">
        <f t="shared" si="341"/>
        <v>288520.00000000006</v>
      </c>
      <c r="AK548" s="12">
        <f t="shared" si="341"/>
        <v>288520.00000000006</v>
      </c>
      <c r="AL548" s="12">
        <f t="shared" si="341"/>
        <v>288520.00000000006</v>
      </c>
      <c r="AM548" s="12">
        <f t="shared" si="341"/>
        <v>288520.00000000006</v>
      </c>
      <c r="AN548" s="12">
        <f t="shared" si="341"/>
        <v>288462.90000000002</v>
      </c>
      <c r="AO548" s="57">
        <f t="shared" si="341"/>
        <v>288462.92000000004</v>
      </c>
      <c r="AP548" s="12">
        <f>SUM(AP545:AP547)</f>
        <v>3462063.3299999991</v>
      </c>
    </row>
    <row r="549" spans="1:44" x14ac:dyDescent="0.3">
      <c r="C549" s="13"/>
    </row>
    <row r="550" spans="1:44" ht="15.5" x14ac:dyDescent="0.35">
      <c r="A550" s="18">
        <f>+A544+1</f>
        <v>61</v>
      </c>
      <c r="C550" s="22" t="s">
        <v>183</v>
      </c>
    </row>
    <row r="551" spans="1:44" x14ac:dyDescent="0.3">
      <c r="C551" s="6" t="s">
        <v>7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f>SUM(D551:O551)</f>
        <v>0</v>
      </c>
      <c r="Q551" s="10">
        <v>0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  <c r="AC551" s="10">
        <f>SUM(Q551:AB551)</f>
        <v>0</v>
      </c>
      <c r="AD551" s="10">
        <v>0</v>
      </c>
      <c r="AE551" s="10">
        <v>0</v>
      </c>
      <c r="AF551" s="10">
        <v>0</v>
      </c>
      <c r="AG551" s="10">
        <v>0</v>
      </c>
      <c r="AH551" s="10">
        <v>0</v>
      </c>
      <c r="AI551" s="10">
        <v>0</v>
      </c>
      <c r="AJ551" s="10">
        <v>0</v>
      </c>
      <c r="AK551" s="10">
        <v>0</v>
      </c>
      <c r="AL551" s="10">
        <v>0</v>
      </c>
      <c r="AM551" s="10">
        <v>0</v>
      </c>
      <c r="AN551" s="10">
        <v>0</v>
      </c>
      <c r="AO551" s="55">
        <v>0</v>
      </c>
      <c r="AP551" s="10">
        <f>SUM(AD551:AO551)</f>
        <v>0</v>
      </c>
    </row>
    <row r="552" spans="1:44" x14ac:dyDescent="0.3">
      <c r="C552" s="6" t="s">
        <v>8</v>
      </c>
      <c r="D552" s="9">
        <v>250</v>
      </c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10">
        <f>SUM(D552:O552)</f>
        <v>250</v>
      </c>
      <c r="Q552" s="9">
        <v>250</v>
      </c>
      <c r="AC552" s="10">
        <f>SUM(Q552:AB552)</f>
        <v>250</v>
      </c>
      <c r="AD552" s="9">
        <v>250</v>
      </c>
      <c r="AE552" s="9"/>
      <c r="AF552" s="9"/>
      <c r="AG552" s="9"/>
      <c r="AH552" s="9"/>
      <c r="AI552" s="9"/>
      <c r="AJ552" s="9"/>
      <c r="AK552" s="9"/>
      <c r="AL552" s="9"/>
      <c r="AM552" s="9"/>
      <c r="AN552" s="23"/>
      <c r="AO552" s="56"/>
      <c r="AP552" s="10">
        <f>SUM(AD552:AO552)</f>
        <v>250</v>
      </c>
    </row>
    <row r="553" spans="1:44" ht="13.5" thickBot="1" x14ac:dyDescent="0.35">
      <c r="C553" s="6" t="s">
        <v>9</v>
      </c>
      <c r="D553" s="9">
        <v>184948.75</v>
      </c>
      <c r="E553" s="9">
        <v>184656.25</v>
      </c>
      <c r="F553" s="9">
        <v>183363.75</v>
      </c>
      <c r="G553" s="9">
        <v>183074.5</v>
      </c>
      <c r="H553" s="9">
        <v>182785.25</v>
      </c>
      <c r="I553" s="9">
        <v>180496</v>
      </c>
      <c r="J553" s="9">
        <v>180213.25</v>
      </c>
      <c r="K553" s="9">
        <v>178930.5</v>
      </c>
      <c r="L553" s="9">
        <v>177651</v>
      </c>
      <c r="M553" s="9">
        <v>177374.75</v>
      </c>
      <c r="N553" s="9">
        <v>177098.5</v>
      </c>
      <c r="O553" s="9">
        <v>185822.25</v>
      </c>
      <c r="P553" s="10">
        <f>SUM(D553:O553)</f>
        <v>2176414.75</v>
      </c>
      <c r="Q553" s="9">
        <f>93000+91516.75</f>
        <v>184516.75</v>
      </c>
      <c r="R553" s="9">
        <f>93000+91214.5</f>
        <v>184214.5</v>
      </c>
      <c r="S553" s="9">
        <f>93000+90912.25</f>
        <v>183912.25</v>
      </c>
      <c r="T553" s="9">
        <f>93000+90610</f>
        <v>183610</v>
      </c>
      <c r="U553" s="9">
        <f>92000+90307.75</f>
        <v>182307.75</v>
      </c>
      <c r="V553" s="9">
        <f>90000+90008.75</f>
        <v>180008.75</v>
      </c>
      <c r="W553" s="9">
        <f>90000+89716.25</f>
        <v>179716.25</v>
      </c>
      <c r="X553" s="9">
        <f>90000+89423.75</f>
        <v>179423.75</v>
      </c>
      <c r="Y553" s="9">
        <f>89000+89131.25</f>
        <v>178131.25</v>
      </c>
      <c r="Z553" s="9">
        <f>88000+88842</f>
        <v>176842</v>
      </c>
      <c r="AA553" s="9">
        <f>88000+88556</f>
        <v>176556</v>
      </c>
      <c r="AB553" s="9">
        <f>97000+88270</f>
        <v>185270</v>
      </c>
      <c r="AC553" s="10">
        <f>SUM(Q553:AB553)</f>
        <v>2174509.25</v>
      </c>
      <c r="AD553" s="10">
        <f>97000+87954.75</f>
        <v>184954.75</v>
      </c>
      <c r="AE553" s="10">
        <f>97000+87639.5</f>
        <v>184639.5</v>
      </c>
      <c r="AF553" s="10">
        <f>96000+87324.25</f>
        <v>183324.25</v>
      </c>
      <c r="AG553" s="10">
        <f>96000+87012.25</f>
        <v>183012.25</v>
      </c>
      <c r="AH553" s="10">
        <f>96000+86700.25</f>
        <v>182700.25</v>
      </c>
      <c r="AI553" s="10">
        <f>95000+86388.25</f>
        <v>181388.25</v>
      </c>
      <c r="AJ553" s="10">
        <f>94000+86079.5</f>
        <v>180079.5</v>
      </c>
      <c r="AK553" s="10">
        <f>93000+85774</f>
        <v>178774</v>
      </c>
      <c r="AL553" s="10">
        <f>92000+85471.75</f>
        <v>177471.75</v>
      </c>
      <c r="AM553" s="10">
        <f>92000+85172.75</f>
        <v>177172.75</v>
      </c>
      <c r="AN553" s="10">
        <f>92000+84873.75</f>
        <v>176873.75</v>
      </c>
      <c r="AO553" s="55">
        <f>101000+84574.75</f>
        <v>185574.75</v>
      </c>
      <c r="AP553" s="10">
        <f>SUM(AD553:AO553)</f>
        <v>2175965.75</v>
      </c>
      <c r="AR553" s="33"/>
    </row>
    <row r="554" spans="1:44" ht="13.5" thickBot="1" x14ac:dyDescent="0.35">
      <c r="C554" s="11" t="s">
        <v>184</v>
      </c>
      <c r="D554" s="12">
        <f t="shared" ref="D554:O554" si="342">SUM(D551:D553)</f>
        <v>185198.75</v>
      </c>
      <c r="E554" s="12">
        <f t="shared" si="342"/>
        <v>184656.25</v>
      </c>
      <c r="F554" s="12">
        <f t="shared" si="342"/>
        <v>183363.75</v>
      </c>
      <c r="G554" s="12">
        <f t="shared" si="342"/>
        <v>183074.5</v>
      </c>
      <c r="H554" s="12">
        <f t="shared" si="342"/>
        <v>182785.25</v>
      </c>
      <c r="I554" s="12">
        <f t="shared" si="342"/>
        <v>180496</v>
      </c>
      <c r="J554" s="12">
        <f t="shared" si="342"/>
        <v>180213.25</v>
      </c>
      <c r="K554" s="12">
        <f t="shared" si="342"/>
        <v>178930.5</v>
      </c>
      <c r="L554" s="12">
        <f t="shared" si="342"/>
        <v>177651</v>
      </c>
      <c r="M554" s="12">
        <f t="shared" si="342"/>
        <v>177374.75</v>
      </c>
      <c r="N554" s="12">
        <f t="shared" si="342"/>
        <v>177098.5</v>
      </c>
      <c r="O554" s="12">
        <f t="shared" si="342"/>
        <v>185822.25</v>
      </c>
      <c r="P554" s="12">
        <f>SUM(P551:P553)</f>
        <v>2176664.75</v>
      </c>
      <c r="Q554" s="12">
        <f t="shared" ref="Q554:AB554" si="343">SUM(Q551:Q553)</f>
        <v>184766.75</v>
      </c>
      <c r="R554" s="12">
        <f t="shared" si="343"/>
        <v>184214.5</v>
      </c>
      <c r="S554" s="12">
        <f t="shared" si="343"/>
        <v>183912.25</v>
      </c>
      <c r="T554" s="12">
        <f t="shared" si="343"/>
        <v>183610</v>
      </c>
      <c r="U554" s="12">
        <f t="shared" si="343"/>
        <v>182307.75</v>
      </c>
      <c r="V554" s="12">
        <f t="shared" si="343"/>
        <v>180008.75</v>
      </c>
      <c r="W554" s="12">
        <f t="shared" si="343"/>
        <v>179716.25</v>
      </c>
      <c r="X554" s="12">
        <f t="shared" si="343"/>
        <v>179423.75</v>
      </c>
      <c r="Y554" s="12">
        <f t="shared" si="343"/>
        <v>178131.25</v>
      </c>
      <c r="Z554" s="12">
        <f t="shared" si="343"/>
        <v>176842</v>
      </c>
      <c r="AA554" s="12">
        <f t="shared" si="343"/>
        <v>176556</v>
      </c>
      <c r="AB554" s="12">
        <f t="shared" si="343"/>
        <v>185270</v>
      </c>
      <c r="AC554" s="12">
        <f>SUM(AC551:AC553)</f>
        <v>2174759.25</v>
      </c>
      <c r="AD554" s="12">
        <f>SUM(AD551:AD553)</f>
        <v>185204.75</v>
      </c>
      <c r="AE554" s="12">
        <f>SUM(AE551:AE553)</f>
        <v>184639.5</v>
      </c>
      <c r="AF554" s="12">
        <f t="shared" ref="AF554:AO554" si="344">SUM(AF551:AF553)</f>
        <v>183324.25</v>
      </c>
      <c r="AG554" s="12">
        <f t="shared" si="344"/>
        <v>183012.25</v>
      </c>
      <c r="AH554" s="12">
        <f t="shared" si="344"/>
        <v>182700.25</v>
      </c>
      <c r="AI554" s="12">
        <f t="shared" si="344"/>
        <v>181388.25</v>
      </c>
      <c r="AJ554" s="12">
        <f t="shared" si="344"/>
        <v>180079.5</v>
      </c>
      <c r="AK554" s="12">
        <f t="shared" si="344"/>
        <v>178774</v>
      </c>
      <c r="AL554" s="12">
        <f t="shared" si="344"/>
        <v>177471.75</v>
      </c>
      <c r="AM554" s="12">
        <f t="shared" si="344"/>
        <v>177172.75</v>
      </c>
      <c r="AN554" s="12">
        <f t="shared" si="344"/>
        <v>176873.75</v>
      </c>
      <c r="AO554" s="57">
        <f t="shared" si="344"/>
        <v>185574.75</v>
      </c>
      <c r="AP554" s="12">
        <f>SUM(AP551:AP553)</f>
        <v>2176215.75</v>
      </c>
    </row>
    <row r="555" spans="1:44" x14ac:dyDescent="0.3">
      <c r="C555" s="13"/>
    </row>
    <row r="556" spans="1:44" ht="15.5" x14ac:dyDescent="0.35">
      <c r="A556" s="18">
        <f>+A550+1</f>
        <v>62</v>
      </c>
      <c r="C556" s="22" t="s">
        <v>185</v>
      </c>
    </row>
    <row r="557" spans="1:44" x14ac:dyDescent="0.3">
      <c r="C557" s="6" t="s">
        <v>7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f>SUM(D557:O557)</f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0</v>
      </c>
      <c r="AC557" s="10">
        <f>SUM(Q557:AB557)</f>
        <v>0</v>
      </c>
      <c r="AD557" s="10">
        <v>0</v>
      </c>
      <c r="AE557" s="10">
        <v>0</v>
      </c>
      <c r="AF557" s="10">
        <v>0</v>
      </c>
      <c r="AG557" s="10">
        <v>0</v>
      </c>
      <c r="AH557" s="10">
        <v>0</v>
      </c>
      <c r="AI557" s="10">
        <v>0</v>
      </c>
      <c r="AJ557" s="10">
        <v>0</v>
      </c>
      <c r="AK557" s="10">
        <v>0</v>
      </c>
      <c r="AL557" s="10">
        <v>0</v>
      </c>
      <c r="AM557" s="10">
        <v>0</v>
      </c>
      <c r="AN557" s="10">
        <v>0</v>
      </c>
      <c r="AO557" s="55">
        <v>0</v>
      </c>
      <c r="AP557" s="10">
        <f>SUM(AD557:AO557)</f>
        <v>0</v>
      </c>
    </row>
    <row r="558" spans="1:44" x14ac:dyDescent="0.3">
      <c r="C558" s="6" t="s">
        <v>8</v>
      </c>
      <c r="D558" s="9">
        <v>250</v>
      </c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10">
        <f>SUM(D558:O558)</f>
        <v>250</v>
      </c>
      <c r="Q558" s="9">
        <v>250</v>
      </c>
      <c r="AC558" s="10">
        <f>SUM(Q558:AB558)</f>
        <v>250</v>
      </c>
      <c r="AD558" s="9">
        <v>250</v>
      </c>
      <c r="AE558" s="9"/>
      <c r="AF558" s="9"/>
      <c r="AG558" s="9"/>
      <c r="AH558" s="9"/>
      <c r="AI558" s="9"/>
      <c r="AJ558" s="9"/>
      <c r="AK558" s="9"/>
      <c r="AL558" s="9"/>
      <c r="AM558" s="9"/>
      <c r="AN558" s="23"/>
      <c r="AO558" s="56"/>
      <c r="AP558" s="10">
        <f>SUM(AD558:AO558)</f>
        <v>250</v>
      </c>
    </row>
    <row r="559" spans="1:44" ht="13.5" thickBot="1" x14ac:dyDescent="0.35">
      <c r="C559" s="6" t="s">
        <v>9</v>
      </c>
      <c r="D559" s="10">
        <v>66750</v>
      </c>
      <c r="E559" s="10">
        <v>66750</v>
      </c>
      <c r="F559" s="10">
        <v>66750</v>
      </c>
      <c r="G559" s="10">
        <v>66750</v>
      </c>
      <c r="H559" s="10">
        <v>66750</v>
      </c>
      <c r="I559" s="10">
        <v>66750</v>
      </c>
      <c r="J559" s="10">
        <v>66750</v>
      </c>
      <c r="K559" s="10">
        <v>66750</v>
      </c>
      <c r="L559" s="10">
        <v>66750</v>
      </c>
      <c r="M559" s="10">
        <v>66750</v>
      </c>
      <c r="N559" s="10">
        <v>66750</v>
      </c>
      <c r="O559" s="9">
        <v>89406.25</v>
      </c>
      <c r="P559" s="10">
        <f>SUM(D559:O559)</f>
        <v>823656.25</v>
      </c>
      <c r="Q559" s="9">
        <v>89406.25</v>
      </c>
      <c r="R559" s="9">
        <v>89406.25</v>
      </c>
      <c r="S559" s="9">
        <v>89406.25</v>
      </c>
      <c r="T559" s="9">
        <v>89406.25</v>
      </c>
      <c r="U559" s="9">
        <v>89406.25</v>
      </c>
      <c r="V559" s="9">
        <v>93937.5</v>
      </c>
      <c r="W559" s="9">
        <v>93937.5</v>
      </c>
      <c r="X559" s="9">
        <v>66750</v>
      </c>
      <c r="Y559" s="9">
        <v>66750</v>
      </c>
      <c r="Z559" s="9">
        <v>66750</v>
      </c>
      <c r="AA559" s="9">
        <v>66750</v>
      </c>
      <c r="AB559" s="9">
        <f>29166.67+66750</f>
        <v>95916.67</v>
      </c>
      <c r="AC559" s="10">
        <f>SUM(Q559:AB559)</f>
        <v>997822.92</v>
      </c>
      <c r="AD559" s="9">
        <f t="shared" ref="AD559:AM559" si="345">29166.67+66750</f>
        <v>95916.67</v>
      </c>
      <c r="AE559" s="9">
        <f t="shared" si="345"/>
        <v>95916.67</v>
      </c>
      <c r="AF559" s="9">
        <f t="shared" si="345"/>
        <v>95916.67</v>
      </c>
      <c r="AG559" s="9">
        <f t="shared" si="345"/>
        <v>95916.67</v>
      </c>
      <c r="AH559" s="9">
        <f t="shared" si="345"/>
        <v>95916.67</v>
      </c>
      <c r="AI559" s="9">
        <f t="shared" si="345"/>
        <v>95916.67</v>
      </c>
      <c r="AJ559" s="9">
        <f t="shared" si="345"/>
        <v>95916.67</v>
      </c>
      <c r="AK559" s="9">
        <f t="shared" si="345"/>
        <v>95916.67</v>
      </c>
      <c r="AL559" s="9">
        <f t="shared" si="345"/>
        <v>95916.67</v>
      </c>
      <c r="AM559" s="9">
        <f t="shared" si="345"/>
        <v>95916.67</v>
      </c>
      <c r="AN559" s="23">
        <f>29166.63+66750</f>
        <v>95916.63</v>
      </c>
      <c r="AO559" s="55">
        <f>22500+65043.75</f>
        <v>87543.75</v>
      </c>
      <c r="AP559" s="10">
        <f>SUM(AD559:AO559)</f>
        <v>1142627.08</v>
      </c>
      <c r="AR559" s="33"/>
    </row>
    <row r="560" spans="1:44" ht="13.5" thickBot="1" x14ac:dyDescent="0.35">
      <c r="C560" s="11" t="s">
        <v>186</v>
      </c>
      <c r="D560" s="12">
        <f t="shared" ref="D560:O560" si="346">SUM(D557:D559)</f>
        <v>67000</v>
      </c>
      <c r="E560" s="12">
        <f t="shared" si="346"/>
        <v>66750</v>
      </c>
      <c r="F560" s="12">
        <f t="shared" si="346"/>
        <v>66750</v>
      </c>
      <c r="G560" s="12">
        <f t="shared" si="346"/>
        <v>66750</v>
      </c>
      <c r="H560" s="12">
        <f t="shared" si="346"/>
        <v>66750</v>
      </c>
      <c r="I560" s="12">
        <f t="shared" si="346"/>
        <v>66750</v>
      </c>
      <c r="J560" s="12">
        <f t="shared" si="346"/>
        <v>66750</v>
      </c>
      <c r="K560" s="12">
        <f t="shared" si="346"/>
        <v>66750</v>
      </c>
      <c r="L560" s="12">
        <f t="shared" si="346"/>
        <v>66750</v>
      </c>
      <c r="M560" s="12">
        <f t="shared" si="346"/>
        <v>66750</v>
      </c>
      <c r="N560" s="12">
        <f t="shared" si="346"/>
        <v>66750</v>
      </c>
      <c r="O560" s="12">
        <f t="shared" si="346"/>
        <v>89406.25</v>
      </c>
      <c r="P560" s="12">
        <f>SUM(P557:P559)</f>
        <v>823906.25</v>
      </c>
      <c r="Q560" s="12">
        <f t="shared" ref="Q560:AB560" si="347">SUM(Q557:Q559)</f>
        <v>89656.25</v>
      </c>
      <c r="R560" s="12">
        <f t="shared" si="347"/>
        <v>89406.25</v>
      </c>
      <c r="S560" s="12">
        <f t="shared" si="347"/>
        <v>89406.25</v>
      </c>
      <c r="T560" s="12">
        <f t="shared" si="347"/>
        <v>89406.25</v>
      </c>
      <c r="U560" s="12">
        <f t="shared" si="347"/>
        <v>89406.25</v>
      </c>
      <c r="V560" s="12">
        <f t="shared" si="347"/>
        <v>93937.5</v>
      </c>
      <c r="W560" s="12">
        <f t="shared" si="347"/>
        <v>93937.5</v>
      </c>
      <c r="X560" s="12">
        <f t="shared" si="347"/>
        <v>66750</v>
      </c>
      <c r="Y560" s="12">
        <f t="shared" si="347"/>
        <v>66750</v>
      </c>
      <c r="Z560" s="12">
        <f t="shared" si="347"/>
        <v>66750</v>
      </c>
      <c r="AA560" s="12">
        <f t="shared" si="347"/>
        <v>66750</v>
      </c>
      <c r="AB560" s="12">
        <f t="shared" si="347"/>
        <v>95916.67</v>
      </c>
      <c r="AC560" s="12">
        <f>SUM(AC557:AC559)</f>
        <v>998072.92</v>
      </c>
      <c r="AD560" s="12">
        <f>SUM(AD557:AD559)</f>
        <v>96166.67</v>
      </c>
      <c r="AE560" s="12">
        <f>SUM(AE557:AE559)</f>
        <v>95916.67</v>
      </c>
      <c r="AF560" s="12">
        <f t="shared" ref="AF560:AO560" si="348">SUM(AF557:AF559)</f>
        <v>95916.67</v>
      </c>
      <c r="AG560" s="12">
        <f t="shared" si="348"/>
        <v>95916.67</v>
      </c>
      <c r="AH560" s="12">
        <f t="shared" si="348"/>
        <v>95916.67</v>
      </c>
      <c r="AI560" s="12">
        <f t="shared" si="348"/>
        <v>95916.67</v>
      </c>
      <c r="AJ560" s="12">
        <f t="shared" si="348"/>
        <v>95916.67</v>
      </c>
      <c r="AK560" s="12">
        <f t="shared" si="348"/>
        <v>95916.67</v>
      </c>
      <c r="AL560" s="12">
        <f t="shared" si="348"/>
        <v>95916.67</v>
      </c>
      <c r="AM560" s="12">
        <f t="shared" si="348"/>
        <v>95916.67</v>
      </c>
      <c r="AN560" s="12">
        <f t="shared" si="348"/>
        <v>95916.63</v>
      </c>
      <c r="AO560" s="57">
        <f t="shared" si="348"/>
        <v>87543.75</v>
      </c>
      <c r="AP560" s="12">
        <f>SUM(AP557:AP559)</f>
        <v>1142877.08</v>
      </c>
    </row>
    <row r="561" spans="1:44" x14ac:dyDescent="0.3">
      <c r="C561" s="13"/>
    </row>
    <row r="562" spans="1:44" ht="15.5" x14ac:dyDescent="0.35">
      <c r="A562" s="18">
        <f>+A556+1</f>
        <v>63</v>
      </c>
      <c r="C562" s="22" t="s">
        <v>187</v>
      </c>
    </row>
    <row r="563" spans="1:44" x14ac:dyDescent="0.3">
      <c r="C563" s="6" t="s">
        <v>7</v>
      </c>
      <c r="D563" s="10">
        <v>1247.5</v>
      </c>
      <c r="E563" s="10">
        <v>1247.5</v>
      </c>
      <c r="F563" s="10">
        <v>1247.5</v>
      </c>
      <c r="G563" s="10">
        <v>1247.5</v>
      </c>
      <c r="H563" s="10">
        <v>1247.5</v>
      </c>
      <c r="I563" s="10">
        <v>1247.5</v>
      </c>
      <c r="J563" s="10">
        <v>1247.5</v>
      </c>
      <c r="K563" s="10">
        <v>1247.5</v>
      </c>
      <c r="L563" s="10">
        <v>1247.5</v>
      </c>
      <c r="M563" s="10">
        <v>1247.5</v>
      </c>
      <c r="N563" s="10">
        <v>1247.5</v>
      </c>
      <c r="O563" s="10">
        <v>1247.5</v>
      </c>
      <c r="P563" s="10">
        <f>SUM(D563:O563)</f>
        <v>14970</v>
      </c>
      <c r="Q563" s="10">
        <v>1247.5</v>
      </c>
      <c r="R563" s="10">
        <v>1247.5</v>
      </c>
      <c r="S563" s="10">
        <v>1247.5</v>
      </c>
      <c r="T563" s="10">
        <v>1247.5</v>
      </c>
      <c r="U563" s="10">
        <v>1247.5</v>
      </c>
      <c r="V563" s="10">
        <v>1247.5</v>
      </c>
      <c r="W563" s="10">
        <v>1247.5</v>
      </c>
      <c r="X563" s="10">
        <v>1247.5</v>
      </c>
      <c r="Y563" s="10">
        <v>1247.5</v>
      </c>
      <c r="Z563" s="10">
        <v>1247.5</v>
      </c>
      <c r="AA563" s="10">
        <v>1247.5</v>
      </c>
      <c r="AB563" s="10">
        <v>1225.83</v>
      </c>
      <c r="AC563" s="10">
        <f>SUM(Q563:AB563)</f>
        <v>14948.33</v>
      </c>
      <c r="AD563" s="10">
        <v>1225.83</v>
      </c>
      <c r="AE563" s="10">
        <v>1225.83</v>
      </c>
      <c r="AF563" s="10">
        <v>1225.83</v>
      </c>
      <c r="AG563" s="10">
        <v>1225.83</v>
      </c>
      <c r="AH563" s="10">
        <v>1225.83</v>
      </c>
      <c r="AI563" s="10">
        <v>1225.83</v>
      </c>
      <c r="AJ563" s="10">
        <v>1225.83</v>
      </c>
      <c r="AK563" s="10">
        <v>1225.83</v>
      </c>
      <c r="AL563" s="10">
        <v>1225.83</v>
      </c>
      <c r="AM563" s="10">
        <v>1225.83</v>
      </c>
      <c r="AN563" s="10">
        <v>1225.83</v>
      </c>
      <c r="AO563" s="55">
        <v>1203.33</v>
      </c>
      <c r="AP563" s="10">
        <f>SUM(AD563:AO563)</f>
        <v>14687.46</v>
      </c>
    </row>
    <row r="564" spans="1:44" x14ac:dyDescent="0.3">
      <c r="C564" s="6" t="s">
        <v>8</v>
      </c>
      <c r="D564" s="9">
        <v>250</v>
      </c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10">
        <f>SUM(D564:O564)</f>
        <v>250</v>
      </c>
      <c r="Q564" s="9">
        <v>250</v>
      </c>
      <c r="AC564" s="10">
        <f>SUM(Q564:AB564)</f>
        <v>250</v>
      </c>
      <c r="AD564" s="9">
        <v>250</v>
      </c>
      <c r="AE564" s="9"/>
      <c r="AF564" s="9"/>
      <c r="AG564" s="9"/>
      <c r="AH564" s="9"/>
      <c r="AI564" s="9"/>
      <c r="AJ564" s="9"/>
      <c r="AK564" s="9"/>
      <c r="AL564" s="9"/>
      <c r="AM564" s="9"/>
      <c r="AN564" s="23"/>
      <c r="AO564" s="56"/>
      <c r="AP564" s="10">
        <f>SUM(AD564:AO564)</f>
        <v>250</v>
      </c>
    </row>
    <row r="565" spans="1:44" ht="13.5" thickBot="1" x14ac:dyDescent="0.35">
      <c r="C565" s="6" t="s">
        <v>9</v>
      </c>
      <c r="D565" s="10">
        <v>62354.17</v>
      </c>
      <c r="E565" s="10">
        <v>62354.17</v>
      </c>
      <c r="F565" s="10">
        <v>62354.17</v>
      </c>
      <c r="G565" s="10">
        <v>62354.17</v>
      </c>
      <c r="H565" s="10">
        <v>62354.15</v>
      </c>
      <c r="I565" s="10">
        <v>62354.17</v>
      </c>
      <c r="J565" s="10">
        <v>62354.17</v>
      </c>
      <c r="K565" s="10">
        <v>62354.17</v>
      </c>
      <c r="L565" s="10">
        <v>62354.17</v>
      </c>
      <c r="M565" s="10">
        <v>62354.17</v>
      </c>
      <c r="N565" s="10">
        <v>62354.15</v>
      </c>
      <c r="O565" s="9">
        <f>21666.67+62354.17</f>
        <v>84020.84</v>
      </c>
      <c r="P565" s="10">
        <f>SUM(D565:O565)</f>
        <v>769916.67</v>
      </c>
      <c r="Q565" s="9">
        <f t="shared" ref="Q565:Z565" si="349">21666.67+62354.17</f>
        <v>84020.84</v>
      </c>
      <c r="R565" s="9">
        <f t="shared" si="349"/>
        <v>84020.84</v>
      </c>
      <c r="S565" s="9">
        <f t="shared" si="349"/>
        <v>84020.84</v>
      </c>
      <c r="T565" s="9">
        <f t="shared" si="349"/>
        <v>84020.84</v>
      </c>
      <c r="U565" s="9">
        <f>21666.67+62354.15</f>
        <v>84020.82</v>
      </c>
      <c r="V565" s="9">
        <f t="shared" si="349"/>
        <v>84020.84</v>
      </c>
      <c r="W565" s="9">
        <f t="shared" si="349"/>
        <v>84020.84</v>
      </c>
      <c r="X565" s="9">
        <f t="shared" si="349"/>
        <v>84020.84</v>
      </c>
      <c r="Y565" s="9">
        <f t="shared" si="349"/>
        <v>84020.84</v>
      </c>
      <c r="Z565" s="9">
        <f t="shared" si="349"/>
        <v>84020.84</v>
      </c>
      <c r="AA565" s="9">
        <f>21666.63+62354.15</f>
        <v>84020.78</v>
      </c>
      <c r="AB565" s="9">
        <f>22500+61291.67</f>
        <v>83791.67</v>
      </c>
      <c r="AC565" s="10">
        <f>SUM(Q565:AB565)</f>
        <v>1008020.83</v>
      </c>
      <c r="AD565" s="9">
        <f t="shared" ref="AD565:AM565" si="350">22500+61291.67</f>
        <v>83791.67</v>
      </c>
      <c r="AE565" s="9">
        <f t="shared" si="350"/>
        <v>83791.67</v>
      </c>
      <c r="AF565" s="9">
        <f t="shared" si="350"/>
        <v>83791.67</v>
      </c>
      <c r="AG565" s="9">
        <f t="shared" si="350"/>
        <v>83791.67</v>
      </c>
      <c r="AH565" s="9">
        <f>22500+61291.65</f>
        <v>83791.649999999994</v>
      </c>
      <c r="AI565" s="9">
        <f t="shared" si="350"/>
        <v>83791.67</v>
      </c>
      <c r="AJ565" s="9">
        <f t="shared" si="350"/>
        <v>83791.67</v>
      </c>
      <c r="AK565" s="9">
        <f t="shared" si="350"/>
        <v>83791.67</v>
      </c>
      <c r="AL565" s="9">
        <f t="shared" si="350"/>
        <v>83791.67</v>
      </c>
      <c r="AM565" s="9">
        <f t="shared" si="350"/>
        <v>83791.67</v>
      </c>
      <c r="AN565" s="23">
        <f>22500+61291.65</f>
        <v>83791.649999999994</v>
      </c>
      <c r="AO565" s="55">
        <f>23750+60166.67</f>
        <v>83916.67</v>
      </c>
      <c r="AP565" s="10">
        <f>SUM(AD565:AO565)</f>
        <v>1005625.0000000001</v>
      </c>
      <c r="AR565" s="33"/>
    </row>
    <row r="566" spans="1:44" ht="13.5" thickBot="1" x14ac:dyDescent="0.35">
      <c r="C566" s="11" t="s">
        <v>188</v>
      </c>
      <c r="D566" s="12">
        <f t="shared" ref="D566:O566" si="351">SUM(D563:D565)</f>
        <v>63851.67</v>
      </c>
      <c r="E566" s="12">
        <f t="shared" si="351"/>
        <v>63601.67</v>
      </c>
      <c r="F566" s="12">
        <f t="shared" si="351"/>
        <v>63601.67</v>
      </c>
      <c r="G566" s="12">
        <f t="shared" si="351"/>
        <v>63601.67</v>
      </c>
      <c r="H566" s="12">
        <f t="shared" si="351"/>
        <v>63601.65</v>
      </c>
      <c r="I566" s="12">
        <f t="shared" si="351"/>
        <v>63601.67</v>
      </c>
      <c r="J566" s="12">
        <f t="shared" si="351"/>
        <v>63601.67</v>
      </c>
      <c r="K566" s="12">
        <f t="shared" si="351"/>
        <v>63601.67</v>
      </c>
      <c r="L566" s="12">
        <f t="shared" si="351"/>
        <v>63601.67</v>
      </c>
      <c r="M566" s="12">
        <f t="shared" si="351"/>
        <v>63601.67</v>
      </c>
      <c r="N566" s="12">
        <f t="shared" si="351"/>
        <v>63601.65</v>
      </c>
      <c r="O566" s="12">
        <f t="shared" si="351"/>
        <v>85268.34</v>
      </c>
      <c r="P566" s="12">
        <f>SUM(P563:P565)</f>
        <v>785136.67</v>
      </c>
      <c r="Q566" s="12">
        <f t="shared" ref="Q566:AB566" si="352">SUM(Q563:Q565)</f>
        <v>85518.34</v>
      </c>
      <c r="R566" s="12">
        <f t="shared" si="352"/>
        <v>85268.34</v>
      </c>
      <c r="S566" s="12">
        <f t="shared" si="352"/>
        <v>85268.34</v>
      </c>
      <c r="T566" s="12">
        <f t="shared" si="352"/>
        <v>85268.34</v>
      </c>
      <c r="U566" s="12">
        <f t="shared" si="352"/>
        <v>85268.32</v>
      </c>
      <c r="V566" s="12">
        <f t="shared" si="352"/>
        <v>85268.34</v>
      </c>
      <c r="W566" s="12">
        <f t="shared" si="352"/>
        <v>85268.34</v>
      </c>
      <c r="X566" s="12">
        <f t="shared" si="352"/>
        <v>85268.34</v>
      </c>
      <c r="Y566" s="12">
        <f t="shared" si="352"/>
        <v>85268.34</v>
      </c>
      <c r="Z566" s="12">
        <f t="shared" si="352"/>
        <v>85268.34</v>
      </c>
      <c r="AA566" s="12">
        <f t="shared" si="352"/>
        <v>85268.28</v>
      </c>
      <c r="AB566" s="12">
        <f t="shared" si="352"/>
        <v>85017.5</v>
      </c>
      <c r="AC566" s="12">
        <f>SUM(AC563:AC565)</f>
        <v>1023219.1599999999</v>
      </c>
      <c r="AD566" s="12">
        <f>SUM(AD563:AD565)</f>
        <v>85267.5</v>
      </c>
      <c r="AE566" s="12">
        <f>SUM(AE563:AE565)</f>
        <v>85017.5</v>
      </c>
      <c r="AF566" s="12">
        <f t="shared" ref="AF566:AO566" si="353">SUM(AF563:AF565)</f>
        <v>85017.5</v>
      </c>
      <c r="AG566" s="12">
        <f t="shared" si="353"/>
        <v>85017.5</v>
      </c>
      <c r="AH566" s="12">
        <f t="shared" si="353"/>
        <v>85017.48</v>
      </c>
      <c r="AI566" s="12">
        <f t="shared" si="353"/>
        <v>85017.5</v>
      </c>
      <c r="AJ566" s="12">
        <f t="shared" si="353"/>
        <v>85017.5</v>
      </c>
      <c r="AK566" s="12">
        <f t="shared" si="353"/>
        <v>85017.5</v>
      </c>
      <c r="AL566" s="12">
        <f t="shared" si="353"/>
        <v>85017.5</v>
      </c>
      <c r="AM566" s="12">
        <f t="shared" si="353"/>
        <v>85017.5</v>
      </c>
      <c r="AN566" s="12">
        <f t="shared" si="353"/>
        <v>85017.48</v>
      </c>
      <c r="AO566" s="57">
        <f t="shared" si="353"/>
        <v>85120</v>
      </c>
      <c r="AP566" s="12">
        <f>SUM(AP563:AP565)</f>
        <v>1020562.4600000001</v>
      </c>
    </row>
    <row r="567" spans="1:44" x14ac:dyDescent="0.3">
      <c r="C567" s="13"/>
    </row>
    <row r="568" spans="1:44" ht="15.5" x14ac:dyDescent="0.35">
      <c r="A568" s="18">
        <f>+A562+1</f>
        <v>64</v>
      </c>
      <c r="C568" s="22" t="s">
        <v>189</v>
      </c>
    </row>
    <row r="569" spans="1:44" x14ac:dyDescent="0.3">
      <c r="C569" s="6" t="s">
        <v>7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10">
        <v>0</v>
      </c>
      <c r="O569" s="10">
        <v>0</v>
      </c>
      <c r="P569" s="10">
        <f>SUM(D569:O569)</f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f>SUM(Q569:AB569)</f>
        <v>0</v>
      </c>
      <c r="AD569" s="10">
        <v>0</v>
      </c>
      <c r="AE569" s="10">
        <v>0</v>
      </c>
      <c r="AF569" s="10">
        <v>0</v>
      </c>
      <c r="AG569" s="10">
        <v>0</v>
      </c>
      <c r="AH569" s="10">
        <v>0</v>
      </c>
      <c r="AI569" s="10">
        <v>0</v>
      </c>
      <c r="AJ569" s="10">
        <v>0</v>
      </c>
      <c r="AK569" s="10">
        <v>0</v>
      </c>
      <c r="AL569" s="10">
        <v>0</v>
      </c>
      <c r="AM569" s="10">
        <v>0</v>
      </c>
      <c r="AN569" s="10">
        <v>0</v>
      </c>
      <c r="AO569" s="55">
        <v>0</v>
      </c>
      <c r="AP569" s="10">
        <f>SUM(AD569:AO569)</f>
        <v>0</v>
      </c>
    </row>
    <row r="570" spans="1:44" x14ac:dyDescent="0.3">
      <c r="C570" s="6" t="s">
        <v>8</v>
      </c>
      <c r="D570" s="9">
        <v>250</v>
      </c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10">
        <f>SUM(D570:O570)</f>
        <v>250</v>
      </c>
      <c r="Q570" s="9">
        <v>250</v>
      </c>
      <c r="AC570" s="10">
        <f>SUM(Q570:AB570)</f>
        <v>250</v>
      </c>
      <c r="AD570" s="9">
        <v>250</v>
      </c>
      <c r="AE570" s="9"/>
      <c r="AF570" s="9"/>
      <c r="AG570" s="9"/>
      <c r="AH570" s="9"/>
      <c r="AI570" s="9"/>
      <c r="AJ570" s="9"/>
      <c r="AK570" s="9"/>
      <c r="AL570" s="9"/>
      <c r="AM570" s="9"/>
      <c r="AN570" s="23"/>
      <c r="AO570" s="56"/>
      <c r="AP570" s="10">
        <f>SUM(AD570:AO570)</f>
        <v>250</v>
      </c>
    </row>
    <row r="571" spans="1:44" ht="13.5" thickBot="1" x14ac:dyDescent="0.35">
      <c r="C571" s="6" t="s">
        <v>9</v>
      </c>
      <c r="D571" s="10">
        <f t="shared" ref="D571:M571" si="354">107473.96-28545.03</f>
        <v>78928.930000000008</v>
      </c>
      <c r="E571" s="10">
        <f t="shared" si="354"/>
        <v>78928.930000000008</v>
      </c>
      <c r="F571" s="10">
        <f t="shared" si="354"/>
        <v>78928.930000000008</v>
      </c>
      <c r="G571" s="10">
        <f t="shared" si="354"/>
        <v>78928.930000000008</v>
      </c>
      <c r="H571" s="10">
        <f t="shared" si="354"/>
        <v>78928.930000000008</v>
      </c>
      <c r="I571" s="10">
        <f t="shared" si="354"/>
        <v>78928.930000000008</v>
      </c>
      <c r="J571" s="10">
        <f t="shared" si="354"/>
        <v>78928.930000000008</v>
      </c>
      <c r="K571" s="10">
        <f t="shared" si="354"/>
        <v>78928.930000000008</v>
      </c>
      <c r="L571" s="10">
        <f t="shared" si="354"/>
        <v>78928.930000000008</v>
      </c>
      <c r="M571" s="10">
        <f t="shared" si="354"/>
        <v>78928.930000000008</v>
      </c>
      <c r="N571" s="10">
        <f>107473.94-28545.13</f>
        <v>78928.81</v>
      </c>
      <c r="O571" s="9">
        <f>107473.96-7392.5</f>
        <v>100081.46</v>
      </c>
      <c r="P571" s="10">
        <f>SUM(D571:O571)</f>
        <v>968299.57000000007</v>
      </c>
      <c r="Q571" s="9">
        <f t="shared" ref="Q571:Z571" si="355">107473.96-7392.5</f>
        <v>100081.46</v>
      </c>
      <c r="R571" s="9">
        <f t="shared" si="355"/>
        <v>100081.46</v>
      </c>
      <c r="S571" s="9">
        <f t="shared" si="355"/>
        <v>100081.46</v>
      </c>
      <c r="T571" s="9">
        <f t="shared" si="355"/>
        <v>100081.46</v>
      </c>
      <c r="U571" s="9">
        <f t="shared" si="355"/>
        <v>100081.46</v>
      </c>
      <c r="V571" s="9">
        <f t="shared" si="355"/>
        <v>100081.46</v>
      </c>
      <c r="W571" s="9">
        <f t="shared" si="355"/>
        <v>100081.46</v>
      </c>
      <c r="X571" s="9">
        <f t="shared" si="355"/>
        <v>100081.46</v>
      </c>
      <c r="Y571" s="9">
        <f t="shared" si="355"/>
        <v>100081.46</v>
      </c>
      <c r="Z571" s="9">
        <f t="shared" si="355"/>
        <v>100081.46</v>
      </c>
      <c r="AA571" s="9">
        <f>107473.94-7392.56</f>
        <v>100081.38</v>
      </c>
      <c r="AB571" s="9">
        <f>107473.96-3060.25</f>
        <v>104413.71</v>
      </c>
      <c r="AC571" s="10">
        <f>SUM(Q571:AB571)</f>
        <v>1205309.69</v>
      </c>
      <c r="AD571" s="9">
        <f t="shared" ref="AD571:AM571" si="356">107473.96-3060.25</f>
        <v>104413.71</v>
      </c>
      <c r="AE571" s="9">
        <f t="shared" si="356"/>
        <v>104413.71</v>
      </c>
      <c r="AF571" s="9">
        <f t="shared" si="356"/>
        <v>104413.71</v>
      </c>
      <c r="AG571" s="9">
        <f t="shared" si="356"/>
        <v>104413.71</v>
      </c>
      <c r="AH571" s="9">
        <f t="shared" si="356"/>
        <v>104413.71</v>
      </c>
      <c r="AI571" s="9">
        <f t="shared" si="356"/>
        <v>104413.71</v>
      </c>
      <c r="AJ571" s="9">
        <f t="shared" si="356"/>
        <v>104413.71</v>
      </c>
      <c r="AK571" s="9">
        <f t="shared" si="356"/>
        <v>104413.71</v>
      </c>
      <c r="AL571" s="9">
        <f t="shared" si="356"/>
        <v>104413.71</v>
      </c>
      <c r="AM571" s="9">
        <f t="shared" si="356"/>
        <v>104413.71</v>
      </c>
      <c r="AN571" s="23">
        <f>107473.94-3060.27</f>
        <v>104413.67</v>
      </c>
      <c r="AO571" s="56">
        <f>107473.96</f>
        <v>107473.96</v>
      </c>
      <c r="AP571" s="10">
        <f>SUM(AD571:AO571)</f>
        <v>1256024.7299999997</v>
      </c>
      <c r="AR571" s="33"/>
    </row>
    <row r="572" spans="1:44" ht="13.5" thickBot="1" x14ac:dyDescent="0.35">
      <c r="C572" s="11" t="s">
        <v>190</v>
      </c>
      <c r="D572" s="12">
        <f t="shared" ref="D572:O572" si="357">SUM(D569:D571)</f>
        <v>79178.930000000008</v>
      </c>
      <c r="E572" s="12">
        <f t="shared" si="357"/>
        <v>78928.930000000008</v>
      </c>
      <c r="F572" s="12">
        <f t="shared" si="357"/>
        <v>78928.930000000008</v>
      </c>
      <c r="G572" s="12">
        <f t="shared" si="357"/>
        <v>78928.930000000008</v>
      </c>
      <c r="H572" s="12">
        <f t="shared" si="357"/>
        <v>78928.930000000008</v>
      </c>
      <c r="I572" s="12">
        <f t="shared" si="357"/>
        <v>78928.930000000008</v>
      </c>
      <c r="J572" s="12">
        <f t="shared" si="357"/>
        <v>78928.930000000008</v>
      </c>
      <c r="K572" s="12">
        <f t="shared" si="357"/>
        <v>78928.930000000008</v>
      </c>
      <c r="L572" s="12">
        <f t="shared" si="357"/>
        <v>78928.930000000008</v>
      </c>
      <c r="M572" s="12">
        <f t="shared" si="357"/>
        <v>78928.930000000008</v>
      </c>
      <c r="N572" s="12">
        <f t="shared" si="357"/>
        <v>78928.81</v>
      </c>
      <c r="O572" s="12">
        <f t="shared" si="357"/>
        <v>100081.46</v>
      </c>
      <c r="P572" s="12">
        <f>SUM(P569:P571)</f>
        <v>968549.57000000007</v>
      </c>
      <c r="Q572" s="12">
        <f t="shared" ref="Q572:AB572" si="358">SUM(Q569:Q571)</f>
        <v>100331.46</v>
      </c>
      <c r="R572" s="12">
        <f t="shared" si="358"/>
        <v>100081.46</v>
      </c>
      <c r="S572" s="12">
        <f t="shared" si="358"/>
        <v>100081.46</v>
      </c>
      <c r="T572" s="12">
        <f t="shared" si="358"/>
        <v>100081.46</v>
      </c>
      <c r="U572" s="12">
        <f t="shared" si="358"/>
        <v>100081.46</v>
      </c>
      <c r="V572" s="12">
        <f t="shared" si="358"/>
        <v>100081.46</v>
      </c>
      <c r="W572" s="12">
        <f t="shared" si="358"/>
        <v>100081.46</v>
      </c>
      <c r="X572" s="12">
        <f t="shared" si="358"/>
        <v>100081.46</v>
      </c>
      <c r="Y572" s="12">
        <f t="shared" si="358"/>
        <v>100081.46</v>
      </c>
      <c r="Z572" s="12">
        <f t="shared" si="358"/>
        <v>100081.46</v>
      </c>
      <c r="AA572" s="12">
        <f t="shared" si="358"/>
        <v>100081.38</v>
      </c>
      <c r="AB572" s="12">
        <f t="shared" si="358"/>
        <v>104413.71</v>
      </c>
      <c r="AC572" s="12">
        <f>SUM(AC569:AC571)</f>
        <v>1205559.69</v>
      </c>
      <c r="AD572" s="12">
        <f>SUM(AD569:AD571)</f>
        <v>104663.71</v>
      </c>
      <c r="AE572" s="12">
        <f>SUM(AE569:AE571)</f>
        <v>104413.71</v>
      </c>
      <c r="AF572" s="12">
        <f t="shared" ref="AF572:AO572" si="359">SUM(AF569:AF571)</f>
        <v>104413.71</v>
      </c>
      <c r="AG572" s="12">
        <f t="shared" si="359"/>
        <v>104413.71</v>
      </c>
      <c r="AH572" s="12">
        <f t="shared" si="359"/>
        <v>104413.71</v>
      </c>
      <c r="AI572" s="12">
        <f t="shared" si="359"/>
        <v>104413.71</v>
      </c>
      <c r="AJ572" s="12">
        <f t="shared" si="359"/>
        <v>104413.71</v>
      </c>
      <c r="AK572" s="12">
        <f t="shared" si="359"/>
        <v>104413.71</v>
      </c>
      <c r="AL572" s="12">
        <f t="shared" si="359"/>
        <v>104413.71</v>
      </c>
      <c r="AM572" s="12">
        <f t="shared" si="359"/>
        <v>104413.71</v>
      </c>
      <c r="AN572" s="12">
        <f t="shared" si="359"/>
        <v>104413.67</v>
      </c>
      <c r="AO572" s="57">
        <f t="shared" si="359"/>
        <v>107473.96</v>
      </c>
      <c r="AP572" s="12">
        <f>SUM(AP569:AP571)</f>
        <v>1256274.7299999997</v>
      </c>
    </row>
    <row r="573" spans="1:44" x14ac:dyDescent="0.3">
      <c r="C573" s="13"/>
    </row>
    <row r="574" spans="1:44" ht="15.5" x14ac:dyDescent="0.35">
      <c r="A574" s="18">
        <f>+A568+1</f>
        <v>65</v>
      </c>
      <c r="C574" s="22" t="s">
        <v>191</v>
      </c>
    </row>
    <row r="575" spans="1:44" x14ac:dyDescent="0.3">
      <c r="C575" s="6" t="s">
        <v>7</v>
      </c>
      <c r="D575" s="9">
        <v>604.58000000000004</v>
      </c>
      <c r="E575" s="9">
        <v>604.58000000000004</v>
      </c>
      <c r="F575" s="9">
        <v>604.58000000000004</v>
      </c>
      <c r="G575" s="9">
        <v>604.58000000000004</v>
      </c>
      <c r="H575" s="9">
        <v>604.58000000000004</v>
      </c>
      <c r="I575" s="9">
        <v>604.58000000000004</v>
      </c>
      <c r="J575" s="9">
        <v>604.58000000000004</v>
      </c>
      <c r="K575" s="9">
        <v>604.58000000000004</v>
      </c>
      <c r="L575" s="9">
        <v>604.58000000000004</v>
      </c>
      <c r="M575" s="9">
        <v>604.58000000000004</v>
      </c>
      <c r="N575" s="9">
        <v>604.58000000000004</v>
      </c>
      <c r="O575" s="9">
        <v>604.58000000000004</v>
      </c>
      <c r="P575" s="10">
        <f>SUM(D575:O575)</f>
        <v>7254.96</v>
      </c>
      <c r="Q575" s="9">
        <v>604.58000000000004</v>
      </c>
      <c r="R575" s="9">
        <v>604.58000000000004</v>
      </c>
      <c r="S575" s="9">
        <v>604.58000000000004</v>
      </c>
      <c r="T575" s="9">
        <v>604.58000000000004</v>
      </c>
      <c r="U575" s="9">
        <v>604.58000000000004</v>
      </c>
      <c r="V575" s="9">
        <v>604.58000000000004</v>
      </c>
      <c r="W575" s="9">
        <v>604.58000000000004</v>
      </c>
      <c r="X575" s="9">
        <v>604.58000000000004</v>
      </c>
      <c r="Y575" s="9">
        <v>604.58000000000004</v>
      </c>
      <c r="Z575" s="9">
        <v>604.58000000000004</v>
      </c>
      <c r="AA575" s="9">
        <v>604.58000000000004</v>
      </c>
      <c r="AB575" s="9">
        <v>604.58000000000004</v>
      </c>
      <c r="AC575" s="10">
        <f>SUM(Q575:AB575)</f>
        <v>7254.96</v>
      </c>
      <c r="AD575" s="10">
        <v>589.58000000000004</v>
      </c>
      <c r="AE575" s="10">
        <v>589.58000000000004</v>
      </c>
      <c r="AF575" s="10">
        <v>589.58000000000004</v>
      </c>
      <c r="AG575" s="10">
        <v>589.58000000000004</v>
      </c>
      <c r="AH575" s="10">
        <v>589.58000000000004</v>
      </c>
      <c r="AI575" s="10">
        <v>589.58000000000004</v>
      </c>
      <c r="AJ575" s="10">
        <v>589.58000000000004</v>
      </c>
      <c r="AK575" s="10">
        <v>589.58000000000004</v>
      </c>
      <c r="AL575" s="10">
        <v>589.58000000000004</v>
      </c>
      <c r="AM575" s="10">
        <v>589.58000000000004</v>
      </c>
      <c r="AN575" s="10">
        <v>589.58000000000004</v>
      </c>
      <c r="AO575" s="55">
        <v>589.58000000000004</v>
      </c>
      <c r="AP575" s="10">
        <f>SUM(AD575:AO575)</f>
        <v>7074.96</v>
      </c>
    </row>
    <row r="576" spans="1:44" x14ac:dyDescent="0.3">
      <c r="C576" s="6" t="s">
        <v>8</v>
      </c>
      <c r="D576" s="9">
        <v>250</v>
      </c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10">
        <f>SUM(D576:O576)</f>
        <v>250</v>
      </c>
      <c r="Q576" s="9">
        <v>250</v>
      </c>
      <c r="AC576" s="10">
        <f>SUM(Q576:AB576)</f>
        <v>250</v>
      </c>
      <c r="AD576" s="9">
        <v>250</v>
      </c>
      <c r="AE576" s="9"/>
      <c r="AF576" s="9"/>
      <c r="AG576" s="9"/>
      <c r="AH576" s="9"/>
      <c r="AI576" s="9"/>
      <c r="AJ576" s="9"/>
      <c r="AK576" s="9"/>
      <c r="AL576" s="9"/>
      <c r="AM576" s="9"/>
      <c r="AN576" s="23"/>
      <c r="AO576" s="56"/>
      <c r="AP576" s="10">
        <f>SUM(AD576:AO576)</f>
        <v>250</v>
      </c>
    </row>
    <row r="577" spans="1:44" ht="13.5" thickBot="1" x14ac:dyDescent="0.35">
      <c r="C577" s="6" t="s">
        <v>9</v>
      </c>
      <c r="D577" s="10">
        <v>15313.54</v>
      </c>
      <c r="E577" s="10">
        <v>15313.55</v>
      </c>
      <c r="F577" s="9">
        <f>15000+15313.54</f>
        <v>30313.54</v>
      </c>
      <c r="G577" s="9">
        <f t="shared" ref="G577:Q577" si="360">15000+15313.54</f>
        <v>30313.54</v>
      </c>
      <c r="H577" s="9">
        <f t="shared" si="360"/>
        <v>30313.54</v>
      </c>
      <c r="I577" s="9">
        <f t="shared" si="360"/>
        <v>30313.54</v>
      </c>
      <c r="J577" s="9">
        <f t="shared" si="360"/>
        <v>30313.54</v>
      </c>
      <c r="K577" s="9">
        <f>15000+15313.55</f>
        <v>30313.55</v>
      </c>
      <c r="L577" s="9">
        <f t="shared" si="360"/>
        <v>30313.54</v>
      </c>
      <c r="M577" s="9">
        <f t="shared" si="360"/>
        <v>30313.54</v>
      </c>
      <c r="N577" s="9">
        <f t="shared" si="360"/>
        <v>30313.54</v>
      </c>
      <c r="O577" s="9">
        <f t="shared" si="360"/>
        <v>30313.54</v>
      </c>
      <c r="P577" s="10">
        <f>SUM(D577:O577)</f>
        <v>333762.5</v>
      </c>
      <c r="Q577" s="9">
        <f t="shared" si="360"/>
        <v>30313.54</v>
      </c>
      <c r="R577" s="9">
        <f>15000+15313.55</f>
        <v>30313.55</v>
      </c>
      <c r="S577" s="9">
        <f>15416.67+14788.54</f>
        <v>30205.21</v>
      </c>
      <c r="T577" s="9">
        <f t="shared" ref="T577:AD577" si="361">15416.67+14788.54</f>
        <v>30205.21</v>
      </c>
      <c r="U577" s="9">
        <f t="shared" si="361"/>
        <v>30205.21</v>
      </c>
      <c r="V577" s="9">
        <f t="shared" si="361"/>
        <v>30205.21</v>
      </c>
      <c r="W577" s="9">
        <f t="shared" si="361"/>
        <v>30205.21</v>
      </c>
      <c r="X577" s="9">
        <f>15416.67+14788.55</f>
        <v>30205.22</v>
      </c>
      <c r="Y577" s="9">
        <f t="shared" si="361"/>
        <v>30205.21</v>
      </c>
      <c r="Z577" s="9">
        <f t="shared" si="361"/>
        <v>30205.21</v>
      </c>
      <c r="AA577" s="9">
        <f t="shared" si="361"/>
        <v>30205.21</v>
      </c>
      <c r="AB577" s="9">
        <f t="shared" si="361"/>
        <v>30205.21</v>
      </c>
      <c r="AC577" s="10">
        <f>SUM(Q577:AB577)</f>
        <v>362679.2</v>
      </c>
      <c r="AD577" s="9">
        <f t="shared" si="361"/>
        <v>30205.21</v>
      </c>
      <c r="AE577" s="9">
        <f>15416.63+14788.55</f>
        <v>30205.18</v>
      </c>
      <c r="AF577" s="10">
        <f>15416.67+14480.21</f>
        <v>29896.879999999997</v>
      </c>
      <c r="AG577" s="10">
        <f t="shared" ref="AG577:AO577" si="362">15416.67+14480.21</f>
        <v>29896.879999999997</v>
      </c>
      <c r="AH577" s="10">
        <f t="shared" si="362"/>
        <v>29896.879999999997</v>
      </c>
      <c r="AI577" s="10">
        <f t="shared" si="362"/>
        <v>29896.879999999997</v>
      </c>
      <c r="AJ577" s="10">
        <f t="shared" si="362"/>
        <v>29896.879999999997</v>
      </c>
      <c r="AK577" s="10">
        <f>15416.67+14480.2</f>
        <v>29896.870000000003</v>
      </c>
      <c r="AL577" s="10">
        <f t="shared" si="362"/>
        <v>29896.879999999997</v>
      </c>
      <c r="AM577" s="10">
        <f t="shared" si="362"/>
        <v>29896.879999999997</v>
      </c>
      <c r="AN577" s="10">
        <f t="shared" si="362"/>
        <v>29896.879999999997</v>
      </c>
      <c r="AO577" s="55">
        <f t="shared" si="362"/>
        <v>29896.879999999997</v>
      </c>
      <c r="AP577" s="10">
        <f>SUM(AD577:AO577)</f>
        <v>359379.18</v>
      </c>
      <c r="AR577" s="33"/>
    </row>
    <row r="578" spans="1:44" ht="13.5" thickBot="1" x14ac:dyDescent="0.35">
      <c r="C578" s="11" t="s">
        <v>50</v>
      </c>
      <c r="D578" s="12">
        <f t="shared" ref="D578:O578" si="363">SUM(D575:D577)</f>
        <v>16168.12</v>
      </c>
      <c r="E578" s="12">
        <f t="shared" si="363"/>
        <v>15918.13</v>
      </c>
      <c r="F578" s="12">
        <f t="shared" si="363"/>
        <v>30918.120000000003</v>
      </c>
      <c r="G578" s="12">
        <f t="shared" si="363"/>
        <v>30918.120000000003</v>
      </c>
      <c r="H578" s="12">
        <f t="shared" si="363"/>
        <v>30918.120000000003</v>
      </c>
      <c r="I578" s="12">
        <f t="shared" si="363"/>
        <v>30918.120000000003</v>
      </c>
      <c r="J578" s="12">
        <f t="shared" si="363"/>
        <v>30918.120000000003</v>
      </c>
      <c r="K578" s="12">
        <f t="shared" si="363"/>
        <v>30918.13</v>
      </c>
      <c r="L578" s="12">
        <f t="shared" si="363"/>
        <v>30918.120000000003</v>
      </c>
      <c r="M578" s="12">
        <f t="shared" si="363"/>
        <v>30918.120000000003</v>
      </c>
      <c r="N578" s="12">
        <f t="shared" si="363"/>
        <v>30918.120000000003</v>
      </c>
      <c r="O578" s="12">
        <f t="shared" si="363"/>
        <v>30918.120000000003</v>
      </c>
      <c r="P578" s="12">
        <f>SUM(P575:P577)</f>
        <v>341267.46</v>
      </c>
      <c r="Q578" s="12">
        <f t="shared" ref="Q578:AB578" si="364">SUM(Q575:Q577)</f>
        <v>31168.120000000003</v>
      </c>
      <c r="R578" s="12">
        <f t="shared" si="364"/>
        <v>30918.13</v>
      </c>
      <c r="S578" s="12">
        <f t="shared" si="364"/>
        <v>30809.79</v>
      </c>
      <c r="T578" s="12">
        <f t="shared" si="364"/>
        <v>30809.79</v>
      </c>
      <c r="U578" s="12">
        <f t="shared" si="364"/>
        <v>30809.79</v>
      </c>
      <c r="V578" s="12">
        <f t="shared" si="364"/>
        <v>30809.79</v>
      </c>
      <c r="W578" s="12">
        <f t="shared" si="364"/>
        <v>30809.79</v>
      </c>
      <c r="X578" s="12">
        <f t="shared" si="364"/>
        <v>30809.800000000003</v>
      </c>
      <c r="Y578" s="12">
        <f t="shared" si="364"/>
        <v>30809.79</v>
      </c>
      <c r="Z578" s="12">
        <f t="shared" si="364"/>
        <v>30809.79</v>
      </c>
      <c r="AA578" s="12">
        <f t="shared" si="364"/>
        <v>30809.79</v>
      </c>
      <c r="AB578" s="12">
        <f t="shared" si="364"/>
        <v>30809.79</v>
      </c>
      <c r="AC578" s="12">
        <f>SUM(AC575:AC577)</f>
        <v>370184.16000000003</v>
      </c>
      <c r="AD578" s="12">
        <f>SUM(AD575:AD577)</f>
        <v>31044.79</v>
      </c>
      <c r="AE578" s="12">
        <f>SUM(AE575:AE577)</f>
        <v>30794.760000000002</v>
      </c>
      <c r="AF578" s="12">
        <f t="shared" ref="AF578:AO578" si="365">SUM(AF575:AF577)</f>
        <v>30486.46</v>
      </c>
      <c r="AG578" s="12">
        <f t="shared" si="365"/>
        <v>30486.46</v>
      </c>
      <c r="AH578" s="12">
        <f t="shared" si="365"/>
        <v>30486.46</v>
      </c>
      <c r="AI578" s="12">
        <f t="shared" si="365"/>
        <v>30486.46</v>
      </c>
      <c r="AJ578" s="12">
        <f t="shared" si="365"/>
        <v>30486.46</v>
      </c>
      <c r="AK578" s="12">
        <f t="shared" si="365"/>
        <v>30486.450000000004</v>
      </c>
      <c r="AL578" s="12">
        <f t="shared" si="365"/>
        <v>30486.46</v>
      </c>
      <c r="AM578" s="12">
        <f t="shared" si="365"/>
        <v>30486.46</v>
      </c>
      <c r="AN578" s="12">
        <f t="shared" si="365"/>
        <v>30486.46</v>
      </c>
      <c r="AO578" s="57">
        <f t="shared" si="365"/>
        <v>30486.46</v>
      </c>
      <c r="AP578" s="12">
        <f>SUM(AP575:AP577)</f>
        <v>366704.14</v>
      </c>
    </row>
    <row r="579" spans="1:44" x14ac:dyDescent="0.3">
      <c r="C579" s="13"/>
    </row>
    <row r="580" spans="1:44" ht="15.5" x14ac:dyDescent="0.35">
      <c r="A580" s="18">
        <f>+A574+1</f>
        <v>66</v>
      </c>
      <c r="C580" s="22" t="s">
        <v>192</v>
      </c>
    </row>
    <row r="581" spans="1:44" x14ac:dyDescent="0.3">
      <c r="C581" s="6" t="s">
        <v>7</v>
      </c>
      <c r="D581" s="10">
        <v>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10">
        <v>0</v>
      </c>
      <c r="O581" s="10">
        <v>0</v>
      </c>
      <c r="P581" s="10">
        <f>SUM(D581:O581)</f>
        <v>0</v>
      </c>
      <c r="Q581" s="10">
        <v>0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f>SUM(Q581:AB581)</f>
        <v>0</v>
      </c>
      <c r="AD581" s="10">
        <v>0</v>
      </c>
      <c r="AE581" s="10">
        <v>0</v>
      </c>
      <c r="AF581" s="10">
        <v>0</v>
      </c>
      <c r="AG581" s="10">
        <v>0</v>
      </c>
      <c r="AH581" s="10">
        <v>0</v>
      </c>
      <c r="AI581" s="10">
        <v>0</v>
      </c>
      <c r="AJ581" s="10">
        <v>0</v>
      </c>
      <c r="AK581" s="10">
        <v>0</v>
      </c>
      <c r="AL581" s="10">
        <v>0</v>
      </c>
      <c r="AM581" s="10">
        <v>0</v>
      </c>
      <c r="AN581" s="10">
        <v>0</v>
      </c>
      <c r="AO581" s="55">
        <v>0</v>
      </c>
      <c r="AP581" s="10">
        <f>SUM(AD581:AO581)</f>
        <v>0</v>
      </c>
    </row>
    <row r="582" spans="1:44" x14ac:dyDescent="0.3">
      <c r="C582" s="6" t="s">
        <v>8</v>
      </c>
      <c r="D582" s="9">
        <v>250</v>
      </c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10">
        <f>SUM(D582:O582)</f>
        <v>250</v>
      </c>
      <c r="Q582" s="9">
        <v>250</v>
      </c>
      <c r="AC582" s="10">
        <f>SUM(Q582:AB582)</f>
        <v>250</v>
      </c>
      <c r="AD582" s="9">
        <v>250</v>
      </c>
      <c r="AE582" s="9"/>
      <c r="AF582" s="9"/>
      <c r="AG582" s="9"/>
      <c r="AH582" s="9"/>
      <c r="AI582" s="9"/>
      <c r="AJ582" s="9"/>
      <c r="AK582" s="9"/>
      <c r="AL582" s="9"/>
      <c r="AM582" s="9"/>
      <c r="AN582" s="23"/>
      <c r="AO582" s="56"/>
      <c r="AP582" s="10">
        <f>SUM(AD582:AO582)</f>
        <v>250</v>
      </c>
    </row>
    <row r="583" spans="1:44" ht="13.5" thickBot="1" x14ac:dyDescent="0.35">
      <c r="C583" s="6" t="s">
        <v>9</v>
      </c>
      <c r="D583" s="10">
        <v>31457.29</v>
      </c>
      <c r="E583" s="10">
        <v>31457.29</v>
      </c>
      <c r="F583" s="10">
        <v>31457.29</v>
      </c>
      <c r="G583" s="10">
        <v>31457.29</v>
      </c>
      <c r="H583" s="10">
        <v>31457.3</v>
      </c>
      <c r="I583" s="10">
        <v>31457.29</v>
      </c>
      <c r="J583" s="10">
        <v>31457.29</v>
      </c>
      <c r="K583" s="10">
        <v>31457.29</v>
      </c>
      <c r="L583" s="10">
        <v>31457.29</v>
      </c>
      <c r="M583" s="10">
        <v>31457.29</v>
      </c>
      <c r="N583" s="10">
        <v>31457.3</v>
      </c>
      <c r="O583" s="10">
        <v>31457.29</v>
      </c>
      <c r="P583" s="10">
        <f>SUM(D583:O583)</f>
        <v>377487.49999999994</v>
      </c>
      <c r="Q583" s="10">
        <v>31457.29</v>
      </c>
      <c r="R583" s="10">
        <v>31457.29</v>
      </c>
      <c r="S583" s="10">
        <v>31457.29</v>
      </c>
      <c r="T583" s="10">
        <v>31457.29</v>
      </c>
      <c r="U583" s="10">
        <v>31457.3</v>
      </c>
      <c r="V583" s="10">
        <v>31457.29</v>
      </c>
      <c r="W583" s="10">
        <v>31457.29</v>
      </c>
      <c r="X583" s="10">
        <v>31457.29</v>
      </c>
      <c r="Y583" s="10">
        <v>31457.29</v>
      </c>
      <c r="Z583" s="10">
        <v>31457.29</v>
      </c>
      <c r="AA583" s="10">
        <v>31457.3</v>
      </c>
      <c r="AB583" s="10">
        <f>10416.67+31457.29</f>
        <v>41873.96</v>
      </c>
      <c r="AC583" s="10">
        <f>SUM(Q583:AB583)</f>
        <v>387904.17</v>
      </c>
      <c r="AD583" s="10">
        <f t="shared" ref="AD583:AM583" si="366">10416.67+31457.29</f>
        <v>41873.96</v>
      </c>
      <c r="AE583" s="10">
        <f t="shared" si="366"/>
        <v>41873.96</v>
      </c>
      <c r="AF583" s="10">
        <f t="shared" si="366"/>
        <v>41873.96</v>
      </c>
      <c r="AG583" s="10">
        <f t="shared" si="366"/>
        <v>41873.96</v>
      </c>
      <c r="AH583" s="10">
        <f>10416.67+31457.3</f>
        <v>41873.97</v>
      </c>
      <c r="AI583" s="10">
        <f t="shared" si="366"/>
        <v>41873.96</v>
      </c>
      <c r="AJ583" s="10">
        <f t="shared" si="366"/>
        <v>41873.96</v>
      </c>
      <c r="AK583" s="10">
        <f t="shared" si="366"/>
        <v>41873.96</v>
      </c>
      <c r="AL583" s="10">
        <f t="shared" si="366"/>
        <v>41873.96</v>
      </c>
      <c r="AM583" s="10">
        <f t="shared" si="366"/>
        <v>41873.96</v>
      </c>
      <c r="AN583" s="10">
        <f>10416.63+31457.3</f>
        <v>41873.93</v>
      </c>
      <c r="AO583" s="55">
        <f>11250+30754.17</f>
        <v>42004.17</v>
      </c>
      <c r="AP583" s="10">
        <f>SUM(AD583:AO583)</f>
        <v>502617.71</v>
      </c>
      <c r="AR583" s="33"/>
    </row>
    <row r="584" spans="1:44" ht="13.5" thickBot="1" x14ac:dyDescent="0.35">
      <c r="C584" s="11" t="s">
        <v>193</v>
      </c>
      <c r="D584" s="12">
        <f t="shared" ref="D584:O584" si="367">SUM(D581:D583)</f>
        <v>31707.29</v>
      </c>
      <c r="E584" s="12">
        <f t="shared" si="367"/>
        <v>31457.29</v>
      </c>
      <c r="F584" s="12">
        <f t="shared" si="367"/>
        <v>31457.29</v>
      </c>
      <c r="G584" s="12">
        <f t="shared" si="367"/>
        <v>31457.29</v>
      </c>
      <c r="H584" s="12">
        <f t="shared" si="367"/>
        <v>31457.3</v>
      </c>
      <c r="I584" s="12">
        <f t="shared" si="367"/>
        <v>31457.29</v>
      </c>
      <c r="J584" s="12">
        <f t="shared" si="367"/>
        <v>31457.29</v>
      </c>
      <c r="K584" s="12">
        <f t="shared" si="367"/>
        <v>31457.29</v>
      </c>
      <c r="L584" s="12">
        <f t="shared" si="367"/>
        <v>31457.29</v>
      </c>
      <c r="M584" s="12">
        <f t="shared" si="367"/>
        <v>31457.29</v>
      </c>
      <c r="N584" s="12">
        <f t="shared" si="367"/>
        <v>31457.3</v>
      </c>
      <c r="O584" s="12">
        <f t="shared" si="367"/>
        <v>31457.29</v>
      </c>
      <c r="P584" s="12">
        <f>SUM(P581:P583)</f>
        <v>377737.49999999994</v>
      </c>
      <c r="Q584" s="12">
        <f t="shared" ref="Q584:AB584" si="368">SUM(Q581:Q583)</f>
        <v>31707.29</v>
      </c>
      <c r="R584" s="12">
        <f t="shared" si="368"/>
        <v>31457.29</v>
      </c>
      <c r="S584" s="12">
        <f t="shared" si="368"/>
        <v>31457.29</v>
      </c>
      <c r="T584" s="12">
        <f t="shared" si="368"/>
        <v>31457.29</v>
      </c>
      <c r="U584" s="12">
        <f t="shared" si="368"/>
        <v>31457.3</v>
      </c>
      <c r="V584" s="12">
        <f t="shared" si="368"/>
        <v>31457.29</v>
      </c>
      <c r="W584" s="12">
        <f t="shared" si="368"/>
        <v>31457.29</v>
      </c>
      <c r="X584" s="12">
        <f t="shared" si="368"/>
        <v>31457.29</v>
      </c>
      <c r="Y584" s="12">
        <f t="shared" si="368"/>
        <v>31457.29</v>
      </c>
      <c r="Z584" s="12">
        <f t="shared" si="368"/>
        <v>31457.29</v>
      </c>
      <c r="AA584" s="12">
        <f t="shared" si="368"/>
        <v>31457.3</v>
      </c>
      <c r="AB584" s="12">
        <f t="shared" si="368"/>
        <v>41873.96</v>
      </c>
      <c r="AC584" s="12">
        <f>SUM(AC581:AC583)</f>
        <v>388154.17</v>
      </c>
      <c r="AD584" s="12">
        <f>SUM(AD581:AD583)</f>
        <v>42123.96</v>
      </c>
      <c r="AE584" s="12">
        <f>SUM(AE581:AE583)</f>
        <v>41873.96</v>
      </c>
      <c r="AF584" s="12">
        <f t="shared" ref="AF584:AO584" si="369">SUM(AF581:AF583)</f>
        <v>41873.96</v>
      </c>
      <c r="AG584" s="12">
        <f t="shared" si="369"/>
        <v>41873.96</v>
      </c>
      <c r="AH584" s="12">
        <f t="shared" si="369"/>
        <v>41873.97</v>
      </c>
      <c r="AI584" s="12">
        <f t="shared" si="369"/>
        <v>41873.96</v>
      </c>
      <c r="AJ584" s="12">
        <f t="shared" si="369"/>
        <v>41873.96</v>
      </c>
      <c r="AK584" s="12">
        <f t="shared" si="369"/>
        <v>41873.96</v>
      </c>
      <c r="AL584" s="12">
        <f t="shared" si="369"/>
        <v>41873.96</v>
      </c>
      <c r="AM584" s="12">
        <f t="shared" si="369"/>
        <v>41873.96</v>
      </c>
      <c r="AN584" s="12">
        <f t="shared" si="369"/>
        <v>41873.93</v>
      </c>
      <c r="AO584" s="57">
        <f t="shared" si="369"/>
        <v>42004.17</v>
      </c>
      <c r="AP584" s="12">
        <f>SUM(AP581:AP583)</f>
        <v>502867.71</v>
      </c>
    </row>
    <row r="585" spans="1:44" x14ac:dyDescent="0.3">
      <c r="C585" s="13"/>
    </row>
    <row r="586" spans="1:44" ht="15.5" x14ac:dyDescent="0.35">
      <c r="A586" s="18">
        <f>+A580+1</f>
        <v>67</v>
      </c>
      <c r="B586"/>
      <c r="C586" s="22" t="s">
        <v>194</v>
      </c>
    </row>
    <row r="587" spans="1:44" x14ac:dyDescent="0.3">
      <c r="C587" s="6" t="s">
        <v>7</v>
      </c>
      <c r="D587" s="10">
        <v>858.75</v>
      </c>
      <c r="E587" s="10">
        <v>858.75</v>
      </c>
      <c r="F587" s="10">
        <v>858.75</v>
      </c>
      <c r="G587" s="28">
        <v>0</v>
      </c>
      <c r="H587" s="10">
        <f>858.75*2</f>
        <v>1717.5</v>
      </c>
      <c r="I587" s="10">
        <v>858.75</v>
      </c>
      <c r="J587" s="10">
        <v>858.75</v>
      </c>
      <c r="K587" s="10">
        <v>858.75</v>
      </c>
      <c r="L587" s="10">
        <v>858.75</v>
      </c>
      <c r="M587" s="10">
        <v>858.75</v>
      </c>
      <c r="N587" s="10">
        <v>858.75</v>
      </c>
      <c r="O587" s="10">
        <v>858.75</v>
      </c>
      <c r="P587" s="10">
        <f>SUM(D587:O587)</f>
        <v>10305</v>
      </c>
      <c r="Q587" s="10">
        <v>858.75</v>
      </c>
      <c r="R587" s="10">
        <v>858.75</v>
      </c>
      <c r="S587" s="10">
        <v>858.75</v>
      </c>
      <c r="T587" s="10">
        <v>858.75</v>
      </c>
      <c r="U587" s="10">
        <v>858.75</v>
      </c>
      <c r="V587" s="10">
        <v>858.75</v>
      </c>
      <c r="W587" s="10">
        <v>858.75</v>
      </c>
      <c r="X587" s="10">
        <v>858.75</v>
      </c>
      <c r="Y587" s="10">
        <v>858.75</v>
      </c>
      <c r="Z587" s="10">
        <v>858.75</v>
      </c>
      <c r="AA587" s="10">
        <v>858.75</v>
      </c>
      <c r="AB587" s="10">
        <v>858.75</v>
      </c>
      <c r="AC587" s="10">
        <f>SUM(Q587:AB587)</f>
        <v>10305</v>
      </c>
      <c r="AD587" s="10">
        <v>858.75</v>
      </c>
      <c r="AE587" s="10">
        <v>858.75</v>
      </c>
      <c r="AF587" s="10">
        <v>858.75</v>
      </c>
      <c r="AG587" s="10">
        <v>858.75</v>
      </c>
      <c r="AH587" s="10">
        <v>858.75</v>
      </c>
      <c r="AI587" s="10">
        <v>858.75</v>
      </c>
      <c r="AJ587" s="10">
        <v>858.75</v>
      </c>
      <c r="AK587" s="10">
        <v>858.75</v>
      </c>
      <c r="AL587" s="10">
        <v>858.75</v>
      </c>
      <c r="AM587" s="10">
        <v>858.75</v>
      </c>
      <c r="AN587" s="10">
        <v>858.75</v>
      </c>
      <c r="AO587" s="55">
        <v>858.75</v>
      </c>
      <c r="AP587" s="10">
        <f>SUM(AD587:AO587)</f>
        <v>10305</v>
      </c>
    </row>
    <row r="588" spans="1:44" x14ac:dyDescent="0.3">
      <c r="C588" s="6" t="s">
        <v>8</v>
      </c>
      <c r="D588" s="9">
        <v>250</v>
      </c>
      <c r="E588" s="9"/>
      <c r="F588" s="9"/>
      <c r="G588" s="15"/>
      <c r="H588" s="9"/>
      <c r="I588" s="9"/>
      <c r="J588" s="9"/>
      <c r="K588" s="9"/>
      <c r="L588" s="9"/>
      <c r="M588" s="9"/>
      <c r="N588" s="9"/>
      <c r="O588" s="9"/>
      <c r="P588" s="10">
        <f>SUM(D588:O588)</f>
        <v>250</v>
      </c>
      <c r="Q588" s="9">
        <v>250</v>
      </c>
      <c r="AC588" s="10">
        <f>SUM(Q588:AB588)</f>
        <v>250</v>
      </c>
      <c r="AD588" s="9">
        <v>250</v>
      </c>
      <c r="AE588" s="9"/>
      <c r="AF588" s="9"/>
      <c r="AG588" s="9"/>
      <c r="AH588" s="9"/>
      <c r="AI588" s="9"/>
      <c r="AJ588" s="9"/>
      <c r="AK588" s="9"/>
      <c r="AL588" s="9"/>
      <c r="AM588" s="9"/>
      <c r="AN588" s="23"/>
      <c r="AO588" s="56"/>
      <c r="AP588" s="10">
        <f>SUM(AD588:AO588)</f>
        <v>250</v>
      </c>
    </row>
    <row r="589" spans="1:44" ht="13.5" thickBot="1" x14ac:dyDescent="0.35">
      <c r="C589" s="6" t="s">
        <v>9</v>
      </c>
      <c r="D589" s="10">
        <v>34350</v>
      </c>
      <c r="E589" s="10">
        <v>34350</v>
      </c>
      <c r="F589" s="10">
        <v>34350</v>
      </c>
      <c r="G589" s="28">
        <v>34350</v>
      </c>
      <c r="H589" s="10">
        <v>34350</v>
      </c>
      <c r="I589" s="10">
        <v>34350</v>
      </c>
      <c r="J589" s="10">
        <v>34350</v>
      </c>
      <c r="K589" s="10">
        <v>34350</v>
      </c>
      <c r="L589" s="10">
        <v>34350</v>
      </c>
      <c r="M589" s="10">
        <v>34350</v>
      </c>
      <c r="N589" s="10">
        <v>34350</v>
      </c>
      <c r="O589" s="10">
        <v>34350</v>
      </c>
      <c r="P589" s="10">
        <f>SUM(D589:O589)</f>
        <v>412200</v>
      </c>
      <c r="Q589" s="10">
        <v>34350</v>
      </c>
      <c r="R589" s="10">
        <v>34350</v>
      </c>
      <c r="S589" s="10">
        <v>34350</v>
      </c>
      <c r="T589" s="10">
        <v>34350</v>
      </c>
      <c r="U589" s="10">
        <v>34350</v>
      </c>
      <c r="V589" s="10">
        <v>34350</v>
      </c>
      <c r="W589" s="10">
        <v>34350</v>
      </c>
      <c r="X589" s="10">
        <v>34350</v>
      </c>
      <c r="Y589" s="10">
        <v>34350</v>
      </c>
      <c r="Z589" s="10">
        <v>34350</v>
      </c>
      <c r="AA589" s="10">
        <v>34350</v>
      </c>
      <c r="AB589" s="10">
        <v>34350</v>
      </c>
      <c r="AC589" s="10">
        <f>SUM(Q589:AB589)</f>
        <v>412200</v>
      </c>
      <c r="AD589" s="10">
        <v>34350</v>
      </c>
      <c r="AE589" s="10">
        <v>34350</v>
      </c>
      <c r="AF589" s="10">
        <v>34350</v>
      </c>
      <c r="AG589" s="10">
        <v>34350</v>
      </c>
      <c r="AH589" s="10">
        <v>34350</v>
      </c>
      <c r="AI589" s="10">
        <v>34350</v>
      </c>
      <c r="AJ589" s="10">
        <v>34350</v>
      </c>
      <c r="AK589" s="10">
        <v>34350</v>
      </c>
      <c r="AL589" s="10">
        <v>34350</v>
      </c>
      <c r="AM589" s="10">
        <v>34350</v>
      </c>
      <c r="AN589" s="10">
        <v>34350</v>
      </c>
      <c r="AO589" s="55">
        <v>34350</v>
      </c>
      <c r="AP589" s="10">
        <f>SUM(AD589:AO589)</f>
        <v>412200</v>
      </c>
      <c r="AR589" s="33"/>
    </row>
    <row r="590" spans="1:44" ht="13.5" thickBot="1" x14ac:dyDescent="0.35">
      <c r="C590" s="11" t="s">
        <v>89</v>
      </c>
      <c r="D590" s="12">
        <f t="shared" ref="D590:O590" si="370">SUM(D587:D589)</f>
        <v>35458.75</v>
      </c>
      <c r="E590" s="12">
        <f t="shared" si="370"/>
        <v>35208.75</v>
      </c>
      <c r="F590" s="12">
        <f t="shared" si="370"/>
        <v>35208.75</v>
      </c>
      <c r="G590" s="12">
        <f t="shared" si="370"/>
        <v>34350</v>
      </c>
      <c r="H590" s="12">
        <f t="shared" si="370"/>
        <v>36067.5</v>
      </c>
      <c r="I590" s="12">
        <f t="shared" si="370"/>
        <v>35208.75</v>
      </c>
      <c r="J590" s="12">
        <f t="shared" si="370"/>
        <v>35208.75</v>
      </c>
      <c r="K590" s="12">
        <f t="shared" si="370"/>
        <v>35208.75</v>
      </c>
      <c r="L590" s="12">
        <f t="shared" si="370"/>
        <v>35208.75</v>
      </c>
      <c r="M590" s="12">
        <f t="shared" si="370"/>
        <v>35208.75</v>
      </c>
      <c r="N590" s="12">
        <f t="shared" si="370"/>
        <v>35208.75</v>
      </c>
      <c r="O590" s="12">
        <f t="shared" si="370"/>
        <v>35208.75</v>
      </c>
      <c r="P590" s="12">
        <f>SUM(P587:P589)</f>
        <v>422755</v>
      </c>
      <c r="Q590" s="12">
        <f t="shared" ref="Q590:AB590" si="371">SUM(Q587:Q589)</f>
        <v>35458.75</v>
      </c>
      <c r="R590" s="12">
        <f t="shared" si="371"/>
        <v>35208.75</v>
      </c>
      <c r="S590" s="12">
        <f t="shared" si="371"/>
        <v>35208.75</v>
      </c>
      <c r="T590" s="12">
        <f t="shared" si="371"/>
        <v>35208.75</v>
      </c>
      <c r="U590" s="12">
        <f t="shared" si="371"/>
        <v>35208.75</v>
      </c>
      <c r="V590" s="12">
        <f t="shared" si="371"/>
        <v>35208.75</v>
      </c>
      <c r="W590" s="12">
        <f t="shared" si="371"/>
        <v>35208.75</v>
      </c>
      <c r="X590" s="12">
        <f t="shared" si="371"/>
        <v>35208.75</v>
      </c>
      <c r="Y590" s="12">
        <f t="shared" si="371"/>
        <v>35208.75</v>
      </c>
      <c r="Z590" s="12">
        <f t="shared" si="371"/>
        <v>35208.75</v>
      </c>
      <c r="AA590" s="12">
        <f t="shared" si="371"/>
        <v>35208.75</v>
      </c>
      <c r="AB590" s="12">
        <f t="shared" si="371"/>
        <v>35208.75</v>
      </c>
      <c r="AC590" s="12">
        <f>SUM(AC587:AC589)</f>
        <v>422755</v>
      </c>
      <c r="AD590" s="12">
        <f>SUM(AD587:AD589)</f>
        <v>35458.75</v>
      </c>
      <c r="AE590" s="12">
        <f>SUM(AE587:AE589)</f>
        <v>35208.75</v>
      </c>
      <c r="AF590" s="12">
        <f t="shared" ref="AF590:AO590" si="372">SUM(AF587:AF589)</f>
        <v>35208.75</v>
      </c>
      <c r="AG590" s="12">
        <f t="shared" si="372"/>
        <v>35208.75</v>
      </c>
      <c r="AH590" s="12">
        <f t="shared" si="372"/>
        <v>35208.75</v>
      </c>
      <c r="AI590" s="12">
        <f t="shared" si="372"/>
        <v>35208.75</v>
      </c>
      <c r="AJ590" s="12">
        <f t="shared" si="372"/>
        <v>35208.75</v>
      </c>
      <c r="AK590" s="12">
        <f t="shared" si="372"/>
        <v>35208.75</v>
      </c>
      <c r="AL590" s="12">
        <f t="shared" si="372"/>
        <v>35208.75</v>
      </c>
      <c r="AM590" s="12">
        <f t="shared" si="372"/>
        <v>35208.75</v>
      </c>
      <c r="AN590" s="12">
        <f t="shared" si="372"/>
        <v>35208.75</v>
      </c>
      <c r="AO590" s="57">
        <f t="shared" si="372"/>
        <v>35208.75</v>
      </c>
      <c r="AP590" s="12">
        <f>SUM(AP587:AP589)</f>
        <v>422755</v>
      </c>
    </row>
    <row r="591" spans="1:44" x14ac:dyDescent="0.3">
      <c r="C591" s="13"/>
    </row>
    <row r="592" spans="1:44" ht="15.5" x14ac:dyDescent="0.35">
      <c r="A592" s="18">
        <f>+A586+1</f>
        <v>68</v>
      </c>
      <c r="C592" s="22" t="s">
        <v>195</v>
      </c>
    </row>
    <row r="593" spans="1:44" x14ac:dyDescent="0.3">
      <c r="C593" s="6" t="s">
        <v>7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f>SUM(D593:O593)</f>
        <v>0</v>
      </c>
      <c r="Q593" s="10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f>SUM(Q593:AB593)</f>
        <v>0</v>
      </c>
      <c r="AD593" s="10">
        <v>0</v>
      </c>
      <c r="AE593" s="10">
        <v>0</v>
      </c>
      <c r="AF593" s="10">
        <v>0</v>
      </c>
      <c r="AG593" s="10">
        <v>0</v>
      </c>
      <c r="AH593" s="10">
        <v>0</v>
      </c>
      <c r="AI593" s="10">
        <v>0</v>
      </c>
      <c r="AJ593" s="10">
        <v>0</v>
      </c>
      <c r="AK593" s="10">
        <v>0</v>
      </c>
      <c r="AL593" s="10">
        <v>0</v>
      </c>
      <c r="AM593" s="10">
        <v>0</v>
      </c>
      <c r="AN593" s="10">
        <v>0</v>
      </c>
      <c r="AO593" s="55">
        <v>0</v>
      </c>
      <c r="AP593" s="10">
        <f>SUM(AD593:AO593)</f>
        <v>0</v>
      </c>
    </row>
    <row r="594" spans="1:44" x14ac:dyDescent="0.3">
      <c r="C594" s="6" t="s">
        <v>8</v>
      </c>
      <c r="D594" s="9">
        <v>250</v>
      </c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10">
        <f>SUM(D594:O594)</f>
        <v>250</v>
      </c>
      <c r="Q594" s="9">
        <v>250</v>
      </c>
      <c r="AC594" s="10">
        <f>SUM(Q594:AB594)</f>
        <v>250</v>
      </c>
      <c r="AD594" s="9">
        <v>250</v>
      </c>
      <c r="AE594" s="9"/>
      <c r="AF594" s="9"/>
      <c r="AG594" s="9"/>
      <c r="AH594" s="9"/>
      <c r="AI594" s="9"/>
      <c r="AJ594" s="9"/>
      <c r="AK594" s="9"/>
      <c r="AL594" s="9"/>
      <c r="AM594" s="9"/>
      <c r="AN594" s="23"/>
      <c r="AO594" s="56"/>
      <c r="AP594" s="10">
        <f>SUM(AD594:AO594)</f>
        <v>250</v>
      </c>
    </row>
    <row r="595" spans="1:44" ht="13.5" thickBot="1" x14ac:dyDescent="0.35">
      <c r="C595" s="6" t="s">
        <v>9</v>
      </c>
      <c r="D595" s="10">
        <v>64735.42</v>
      </c>
      <c r="E595" s="10">
        <v>64735.42</v>
      </c>
      <c r="F595" s="10">
        <v>64735.42</v>
      </c>
      <c r="G595" s="10">
        <v>64735.42</v>
      </c>
      <c r="H595" s="10">
        <v>64735.42</v>
      </c>
      <c r="I595" s="10">
        <v>64735.42</v>
      </c>
      <c r="J595" s="10">
        <v>64735.42</v>
      </c>
      <c r="K595" s="10">
        <v>64735.42</v>
      </c>
      <c r="L595" s="10">
        <v>64735.42</v>
      </c>
      <c r="M595" s="10">
        <v>64735.42</v>
      </c>
      <c r="N595" s="10">
        <v>64735.42</v>
      </c>
      <c r="O595" s="9">
        <f>15833.33+64735.42</f>
        <v>80568.75</v>
      </c>
      <c r="P595" s="10">
        <f>SUM(D595:O595)</f>
        <v>792658.37</v>
      </c>
      <c r="Q595" s="9">
        <f>15833.33+64735.42</f>
        <v>80568.75</v>
      </c>
      <c r="R595" s="9">
        <f>15833.33+64735.42</f>
        <v>80568.75</v>
      </c>
      <c r="S595" s="9">
        <f>15833.33+64735.42</f>
        <v>80568.75</v>
      </c>
      <c r="T595" s="9">
        <f>15833.33+64735.42</f>
        <v>80568.75</v>
      </c>
      <c r="U595" s="9">
        <f>15833.33+64735.42</f>
        <v>80568.75</v>
      </c>
      <c r="V595" s="9">
        <f t="shared" ref="V595:AA595" si="373">16666.67+64400</f>
        <v>81066.67</v>
      </c>
      <c r="W595" s="9">
        <f t="shared" si="373"/>
        <v>81066.67</v>
      </c>
      <c r="X595" s="9">
        <f t="shared" si="373"/>
        <v>81066.67</v>
      </c>
      <c r="Y595" s="9">
        <f t="shared" si="373"/>
        <v>81066.67</v>
      </c>
      <c r="Z595" s="9">
        <f t="shared" si="373"/>
        <v>81066.67</v>
      </c>
      <c r="AA595" s="9">
        <f t="shared" si="373"/>
        <v>81066.67</v>
      </c>
      <c r="AB595" s="9">
        <f>17500+88669.79</f>
        <v>106169.79</v>
      </c>
      <c r="AC595" s="10">
        <f>SUM(Q595:AB595)</f>
        <v>995413.56000000017</v>
      </c>
      <c r="AD595" s="9">
        <f>17500+88669.79</f>
        <v>106169.79</v>
      </c>
      <c r="AE595" s="9">
        <f>17500+88669.79</f>
        <v>106169.79</v>
      </c>
      <c r="AF595" s="9">
        <f>17500+88669.79</f>
        <v>106169.79</v>
      </c>
      <c r="AG595" s="9">
        <f>17500+88669.79</f>
        <v>106169.79</v>
      </c>
      <c r="AH595" s="9">
        <f>17500+88669.79</f>
        <v>106169.79</v>
      </c>
      <c r="AI595" s="10">
        <f t="shared" ref="AI595:AN595" si="374">17500+88166.67</f>
        <v>105666.67</v>
      </c>
      <c r="AJ595" s="10">
        <f t="shared" si="374"/>
        <v>105666.67</v>
      </c>
      <c r="AK595" s="10">
        <f t="shared" si="374"/>
        <v>105666.67</v>
      </c>
      <c r="AL595" s="10">
        <f t="shared" si="374"/>
        <v>105666.67</v>
      </c>
      <c r="AM595" s="10">
        <f t="shared" si="374"/>
        <v>105666.67</v>
      </c>
      <c r="AN595" s="10">
        <f t="shared" si="374"/>
        <v>105666.67</v>
      </c>
      <c r="AO595" s="55">
        <f>17500+87663.54</f>
        <v>105163.54</v>
      </c>
      <c r="AP595" s="10">
        <f>SUM(AD595:AO595)</f>
        <v>1270012.51</v>
      </c>
      <c r="AR595" s="33"/>
    </row>
    <row r="596" spans="1:44" ht="13.5" thickBot="1" x14ac:dyDescent="0.35">
      <c r="C596" s="11" t="s">
        <v>196</v>
      </c>
      <c r="D596" s="12">
        <f t="shared" ref="D596:O596" si="375">SUM(D593:D595)</f>
        <v>64985.42</v>
      </c>
      <c r="E596" s="12">
        <f t="shared" si="375"/>
        <v>64735.42</v>
      </c>
      <c r="F596" s="12">
        <f t="shared" si="375"/>
        <v>64735.42</v>
      </c>
      <c r="G596" s="12">
        <f t="shared" si="375"/>
        <v>64735.42</v>
      </c>
      <c r="H596" s="12">
        <f t="shared" si="375"/>
        <v>64735.42</v>
      </c>
      <c r="I596" s="12">
        <f t="shared" si="375"/>
        <v>64735.42</v>
      </c>
      <c r="J596" s="12">
        <f t="shared" si="375"/>
        <v>64735.42</v>
      </c>
      <c r="K596" s="12">
        <f t="shared" si="375"/>
        <v>64735.42</v>
      </c>
      <c r="L596" s="12">
        <f t="shared" si="375"/>
        <v>64735.42</v>
      </c>
      <c r="M596" s="12">
        <f t="shared" si="375"/>
        <v>64735.42</v>
      </c>
      <c r="N596" s="12">
        <f t="shared" si="375"/>
        <v>64735.42</v>
      </c>
      <c r="O596" s="12">
        <f t="shared" si="375"/>
        <v>80568.75</v>
      </c>
      <c r="P596" s="12">
        <f>SUM(P593:P595)</f>
        <v>792908.37</v>
      </c>
      <c r="Q596" s="12">
        <f t="shared" ref="Q596:AB596" si="376">SUM(Q593:Q595)</f>
        <v>80818.75</v>
      </c>
      <c r="R596" s="12">
        <f t="shared" si="376"/>
        <v>80568.75</v>
      </c>
      <c r="S596" s="12">
        <f t="shared" si="376"/>
        <v>80568.75</v>
      </c>
      <c r="T596" s="12">
        <f t="shared" si="376"/>
        <v>80568.75</v>
      </c>
      <c r="U596" s="12">
        <f t="shared" si="376"/>
        <v>80568.75</v>
      </c>
      <c r="V596" s="12">
        <f t="shared" si="376"/>
        <v>81066.67</v>
      </c>
      <c r="W596" s="12">
        <f t="shared" si="376"/>
        <v>81066.67</v>
      </c>
      <c r="X596" s="12">
        <f t="shared" si="376"/>
        <v>81066.67</v>
      </c>
      <c r="Y596" s="12">
        <f t="shared" si="376"/>
        <v>81066.67</v>
      </c>
      <c r="Z596" s="12">
        <f t="shared" si="376"/>
        <v>81066.67</v>
      </c>
      <c r="AA596" s="12">
        <f t="shared" si="376"/>
        <v>81066.67</v>
      </c>
      <c r="AB596" s="12">
        <f t="shared" si="376"/>
        <v>106169.79</v>
      </c>
      <c r="AC596" s="12">
        <f>SUM(AC593:AC595)</f>
        <v>995663.56000000017</v>
      </c>
      <c r="AD596" s="12">
        <f>SUM(AD593:AD595)</f>
        <v>106419.79</v>
      </c>
      <c r="AE596" s="12">
        <f>SUM(AE593:AE595)</f>
        <v>106169.79</v>
      </c>
      <c r="AF596" s="12">
        <f t="shared" ref="AF596:AO596" si="377">SUM(AF593:AF595)</f>
        <v>106169.79</v>
      </c>
      <c r="AG596" s="12">
        <f t="shared" si="377"/>
        <v>106169.79</v>
      </c>
      <c r="AH596" s="12">
        <f t="shared" si="377"/>
        <v>106169.79</v>
      </c>
      <c r="AI596" s="12">
        <f t="shared" si="377"/>
        <v>105666.67</v>
      </c>
      <c r="AJ596" s="12">
        <f t="shared" si="377"/>
        <v>105666.67</v>
      </c>
      <c r="AK596" s="12">
        <f t="shared" si="377"/>
        <v>105666.67</v>
      </c>
      <c r="AL596" s="12">
        <f t="shared" si="377"/>
        <v>105666.67</v>
      </c>
      <c r="AM596" s="12">
        <f t="shared" si="377"/>
        <v>105666.67</v>
      </c>
      <c r="AN596" s="12">
        <f t="shared" si="377"/>
        <v>105666.67</v>
      </c>
      <c r="AO596" s="57">
        <f t="shared" si="377"/>
        <v>105163.54</v>
      </c>
      <c r="AP596" s="12">
        <f>SUM(AP593:AP595)</f>
        <v>1270262.51</v>
      </c>
    </row>
    <row r="597" spans="1:44" x14ac:dyDescent="0.3">
      <c r="C597" s="13"/>
    </row>
    <row r="598" spans="1:44" ht="15.5" x14ac:dyDescent="0.35">
      <c r="A598" s="18">
        <f>+A592+1</f>
        <v>69</v>
      </c>
      <c r="C598" s="22" t="s">
        <v>197</v>
      </c>
    </row>
    <row r="599" spans="1:44" x14ac:dyDescent="0.3">
      <c r="C599" s="6" t="s">
        <v>7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f>SUM(D599:O599)</f>
        <v>0</v>
      </c>
      <c r="Q599" s="10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f>SUM(Q599:AB599)</f>
        <v>0</v>
      </c>
      <c r="AD599" s="10">
        <v>0</v>
      </c>
      <c r="AE599" s="10">
        <v>0</v>
      </c>
      <c r="AF599" s="10">
        <v>0</v>
      </c>
      <c r="AG599" s="10">
        <v>0</v>
      </c>
      <c r="AH599" s="10">
        <v>0</v>
      </c>
      <c r="AI599" s="10">
        <v>0</v>
      </c>
      <c r="AJ599" s="10">
        <v>0</v>
      </c>
      <c r="AK599" s="10">
        <v>0</v>
      </c>
      <c r="AL599" s="10">
        <v>0</v>
      </c>
      <c r="AM599" s="10">
        <v>0</v>
      </c>
      <c r="AN599" s="10">
        <v>0</v>
      </c>
      <c r="AO599" s="55">
        <v>0</v>
      </c>
      <c r="AP599" s="10">
        <f>SUM(AD599:AO599)</f>
        <v>0</v>
      </c>
    </row>
    <row r="600" spans="1:44" x14ac:dyDescent="0.3">
      <c r="C600" s="6" t="s">
        <v>8</v>
      </c>
      <c r="D600" s="9">
        <v>250</v>
      </c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10">
        <f>SUM(D600:O600)</f>
        <v>250</v>
      </c>
      <c r="Q600" s="9">
        <v>250</v>
      </c>
      <c r="AC600" s="10">
        <f>SUM(Q600:AB600)</f>
        <v>250</v>
      </c>
      <c r="AD600" s="9">
        <v>250</v>
      </c>
      <c r="AE600" s="9"/>
      <c r="AF600" s="9"/>
      <c r="AG600" s="9"/>
      <c r="AH600" s="9"/>
      <c r="AI600" s="9"/>
      <c r="AJ600" s="9"/>
      <c r="AK600" s="9"/>
      <c r="AL600" s="9"/>
      <c r="AM600" s="9"/>
      <c r="AN600" s="23"/>
      <c r="AO600" s="56"/>
      <c r="AP600" s="10">
        <f>SUM(AD600:AO600)</f>
        <v>250</v>
      </c>
    </row>
    <row r="601" spans="1:44" ht="13.5" thickBot="1" x14ac:dyDescent="0.35">
      <c r="C601" s="6" t="s">
        <v>9</v>
      </c>
      <c r="D601" s="9">
        <v>45642.84</v>
      </c>
      <c r="E601" s="9">
        <v>45642.84</v>
      </c>
      <c r="F601" s="9">
        <v>45642.82</v>
      </c>
      <c r="G601" s="9">
        <v>32347.64</v>
      </c>
      <c r="H601" s="9">
        <v>32347.64</v>
      </c>
      <c r="I601" s="9">
        <v>32347.65</v>
      </c>
      <c r="J601" s="9">
        <v>37373.120000000003</v>
      </c>
      <c r="K601" s="9">
        <v>37373.120000000003</v>
      </c>
      <c r="L601" s="9">
        <v>37373.14</v>
      </c>
      <c r="M601" s="9">
        <v>35571.25</v>
      </c>
      <c r="N601" s="9">
        <v>35571.25</v>
      </c>
      <c r="O601" s="9">
        <v>35571.25</v>
      </c>
      <c r="P601" s="10">
        <f>SUM(D601:O601)</f>
        <v>452804.56000000006</v>
      </c>
      <c r="Q601" s="9">
        <v>33781.67</v>
      </c>
      <c r="R601" s="9">
        <v>33781.67</v>
      </c>
      <c r="S601" s="9">
        <v>33781.67</v>
      </c>
      <c r="T601" s="9">
        <v>33671.040000000001</v>
      </c>
      <c r="U601" s="9">
        <v>33671.040000000001</v>
      </c>
      <c r="V601" s="9">
        <v>33671.050000000003</v>
      </c>
      <c r="W601" s="9">
        <v>46893.75</v>
      </c>
      <c r="X601" s="9">
        <v>46893.75</v>
      </c>
      <c r="Y601" s="9">
        <v>46893.760000000002</v>
      </c>
      <c r="Z601" s="9">
        <v>35018.129999999997</v>
      </c>
      <c r="AA601" s="9">
        <v>24794.17</v>
      </c>
      <c r="AB601" s="9">
        <v>24794.16</v>
      </c>
      <c r="AC601" s="10">
        <f>SUM(Q601:AB601)</f>
        <v>427645.86</v>
      </c>
      <c r="AD601" s="10">
        <v>24708.13</v>
      </c>
      <c r="AE601" s="10">
        <v>24708.13</v>
      </c>
      <c r="AF601" s="10">
        <v>24708.12</v>
      </c>
      <c r="AG601" s="10">
        <v>24622.09</v>
      </c>
      <c r="AH601" s="10">
        <v>24622.09</v>
      </c>
      <c r="AI601" s="10">
        <v>24622.07</v>
      </c>
      <c r="AJ601" s="10">
        <v>37869.379999999997</v>
      </c>
      <c r="AK601" s="10">
        <v>37869.379999999997</v>
      </c>
      <c r="AL601" s="10">
        <v>37869.370000000003</v>
      </c>
      <c r="AM601" s="10">
        <v>24351.67</v>
      </c>
      <c r="AN601" s="10">
        <v>24351.67</v>
      </c>
      <c r="AO601" s="55">
        <v>24351.67</v>
      </c>
      <c r="AP601" s="10">
        <f>SUM(AD601:AO601)</f>
        <v>334653.76999999996</v>
      </c>
      <c r="AR601" s="33"/>
    </row>
    <row r="602" spans="1:44" ht="13.5" thickBot="1" x14ac:dyDescent="0.35">
      <c r="C602" s="11" t="s">
        <v>198</v>
      </c>
      <c r="D602" s="12">
        <f t="shared" ref="D602:O602" si="378">SUM(D599:D601)</f>
        <v>45892.84</v>
      </c>
      <c r="E602" s="12">
        <f t="shared" si="378"/>
        <v>45642.84</v>
      </c>
      <c r="F602" s="12">
        <f t="shared" si="378"/>
        <v>45642.82</v>
      </c>
      <c r="G602" s="12">
        <f t="shared" si="378"/>
        <v>32347.64</v>
      </c>
      <c r="H602" s="12">
        <f t="shared" si="378"/>
        <v>32347.64</v>
      </c>
      <c r="I602" s="12">
        <f t="shared" si="378"/>
        <v>32347.65</v>
      </c>
      <c r="J602" s="12">
        <f t="shared" si="378"/>
        <v>37373.120000000003</v>
      </c>
      <c r="K602" s="12">
        <f t="shared" si="378"/>
        <v>37373.120000000003</v>
      </c>
      <c r="L602" s="12">
        <f t="shared" si="378"/>
        <v>37373.14</v>
      </c>
      <c r="M602" s="12">
        <f t="shared" si="378"/>
        <v>35571.25</v>
      </c>
      <c r="N602" s="12">
        <f t="shared" si="378"/>
        <v>35571.25</v>
      </c>
      <c r="O602" s="12">
        <f t="shared" si="378"/>
        <v>35571.25</v>
      </c>
      <c r="P602" s="12">
        <f>SUM(P599:P601)</f>
        <v>453054.56000000006</v>
      </c>
      <c r="Q602" s="12">
        <f t="shared" ref="Q602:AB602" si="379">SUM(Q599:Q601)</f>
        <v>34031.67</v>
      </c>
      <c r="R602" s="12">
        <f t="shared" si="379"/>
        <v>33781.67</v>
      </c>
      <c r="S602" s="12">
        <f t="shared" si="379"/>
        <v>33781.67</v>
      </c>
      <c r="T602" s="12">
        <f t="shared" si="379"/>
        <v>33671.040000000001</v>
      </c>
      <c r="U602" s="12">
        <f t="shared" si="379"/>
        <v>33671.040000000001</v>
      </c>
      <c r="V602" s="12">
        <f t="shared" si="379"/>
        <v>33671.050000000003</v>
      </c>
      <c r="W602" s="12">
        <f t="shared" si="379"/>
        <v>46893.75</v>
      </c>
      <c r="X602" s="12">
        <f t="shared" si="379"/>
        <v>46893.75</v>
      </c>
      <c r="Y602" s="12">
        <f t="shared" si="379"/>
        <v>46893.760000000002</v>
      </c>
      <c r="Z602" s="12">
        <f t="shared" si="379"/>
        <v>35018.129999999997</v>
      </c>
      <c r="AA602" s="12">
        <f t="shared" si="379"/>
        <v>24794.17</v>
      </c>
      <c r="AB602" s="12">
        <f t="shared" si="379"/>
        <v>24794.16</v>
      </c>
      <c r="AC602" s="12">
        <f>SUM(AC599:AC601)</f>
        <v>427895.86</v>
      </c>
      <c r="AD602" s="12">
        <f>SUM(AD599:AD601)</f>
        <v>24958.13</v>
      </c>
      <c r="AE602" s="12">
        <f>SUM(AE599:AE601)</f>
        <v>24708.13</v>
      </c>
      <c r="AF602" s="12">
        <f t="shared" ref="AF602:AO602" si="380">SUM(AF599:AF601)</f>
        <v>24708.12</v>
      </c>
      <c r="AG602" s="12">
        <f t="shared" si="380"/>
        <v>24622.09</v>
      </c>
      <c r="AH602" s="12">
        <f t="shared" si="380"/>
        <v>24622.09</v>
      </c>
      <c r="AI602" s="12">
        <f t="shared" si="380"/>
        <v>24622.07</v>
      </c>
      <c r="AJ602" s="12">
        <f t="shared" si="380"/>
        <v>37869.379999999997</v>
      </c>
      <c r="AK602" s="12">
        <f t="shared" si="380"/>
        <v>37869.379999999997</v>
      </c>
      <c r="AL602" s="12">
        <f t="shared" si="380"/>
        <v>37869.370000000003</v>
      </c>
      <c r="AM602" s="12">
        <f t="shared" si="380"/>
        <v>24351.67</v>
      </c>
      <c r="AN602" s="12">
        <f t="shared" si="380"/>
        <v>24351.67</v>
      </c>
      <c r="AO602" s="57">
        <f t="shared" si="380"/>
        <v>24351.67</v>
      </c>
      <c r="AP602" s="12">
        <f>SUM(AP599:AP601)</f>
        <v>334903.76999999996</v>
      </c>
    </row>
    <row r="603" spans="1:44" x14ac:dyDescent="0.3">
      <c r="C603" s="13"/>
    </row>
    <row r="604" spans="1:44" ht="15.5" x14ac:dyDescent="0.35">
      <c r="A604" s="18">
        <f>+A598+1</f>
        <v>70</v>
      </c>
      <c r="C604" s="22" t="s">
        <v>199</v>
      </c>
    </row>
    <row r="605" spans="1:44" x14ac:dyDescent="0.3">
      <c r="C605" s="6" t="s">
        <v>7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f>SUM(D605:O605)</f>
        <v>0</v>
      </c>
      <c r="Q605" s="10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f>SUM(Q605:AB605)</f>
        <v>0</v>
      </c>
      <c r="AD605" s="10">
        <v>0</v>
      </c>
      <c r="AE605" s="10">
        <v>0</v>
      </c>
      <c r="AF605" s="10">
        <v>0</v>
      </c>
      <c r="AG605" s="10">
        <v>0</v>
      </c>
      <c r="AH605" s="10">
        <v>0</v>
      </c>
      <c r="AI605" s="10">
        <v>0</v>
      </c>
      <c r="AJ605" s="10">
        <v>0</v>
      </c>
      <c r="AK605" s="10">
        <v>0</v>
      </c>
      <c r="AL605" s="10">
        <v>0</v>
      </c>
      <c r="AM605" s="10">
        <v>0</v>
      </c>
      <c r="AN605" s="10">
        <v>0</v>
      </c>
      <c r="AO605" s="55">
        <v>0</v>
      </c>
      <c r="AP605" s="10">
        <f>SUM(AD605:AO605)</f>
        <v>0</v>
      </c>
    </row>
    <row r="606" spans="1:44" x14ac:dyDescent="0.3">
      <c r="C606" s="6" t="s">
        <v>8</v>
      </c>
      <c r="D606" s="9">
        <v>250</v>
      </c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10">
        <f>SUM(D606:O606)</f>
        <v>250</v>
      </c>
      <c r="Q606" s="9">
        <v>250</v>
      </c>
      <c r="AC606" s="10">
        <f>SUM(Q606:AB606)</f>
        <v>250</v>
      </c>
      <c r="AD606" s="9">
        <v>250</v>
      </c>
      <c r="AE606" s="9"/>
      <c r="AF606" s="9"/>
      <c r="AG606" s="9"/>
      <c r="AH606" s="9"/>
      <c r="AI606" s="9"/>
      <c r="AJ606" s="9"/>
      <c r="AK606" s="9"/>
      <c r="AL606" s="9"/>
      <c r="AM606" s="9"/>
      <c r="AN606" s="23"/>
      <c r="AO606" s="56"/>
      <c r="AP606" s="10">
        <f>SUM(AD606:AO606)</f>
        <v>250</v>
      </c>
    </row>
    <row r="607" spans="1:44" ht="13.5" thickBot="1" x14ac:dyDescent="0.35">
      <c r="C607" s="6" t="s">
        <v>9</v>
      </c>
      <c r="D607" s="9">
        <v>55644.27</v>
      </c>
      <c r="E607" s="9">
        <v>55644.27</v>
      </c>
      <c r="F607" s="9">
        <v>55644.27</v>
      </c>
      <c r="G607" s="9">
        <v>55644.27</v>
      </c>
      <c r="H607" s="9">
        <v>55644.27</v>
      </c>
      <c r="I607" s="9">
        <v>55644.26</v>
      </c>
      <c r="J607" s="9">
        <v>133689.06</v>
      </c>
      <c r="K607" s="9">
        <v>133689.06</v>
      </c>
      <c r="L607" s="9">
        <v>133689.06</v>
      </c>
      <c r="M607" s="9">
        <v>133689.06</v>
      </c>
      <c r="N607" s="9">
        <v>133689.06</v>
      </c>
      <c r="O607" s="9">
        <v>133689.07999999999</v>
      </c>
      <c r="P607" s="10">
        <f>SUM(D607:O607)</f>
        <v>1135999.9900000002</v>
      </c>
      <c r="Q607" s="9">
        <f>9166.67+133689.06</f>
        <v>142855.73000000001</v>
      </c>
      <c r="R607" s="9">
        <f t="shared" ref="R607:AA607" si="381">9166.67+133689.06</f>
        <v>142855.73000000001</v>
      </c>
      <c r="S607" s="9">
        <f t="shared" si="381"/>
        <v>142855.73000000001</v>
      </c>
      <c r="T607" s="9">
        <f t="shared" si="381"/>
        <v>142855.73000000001</v>
      </c>
      <c r="U607" s="9">
        <f t="shared" si="381"/>
        <v>142855.73000000001</v>
      </c>
      <c r="V607" s="9">
        <f>9166.67+133689.08</f>
        <v>142855.75</v>
      </c>
      <c r="W607" s="9">
        <f t="shared" si="381"/>
        <v>142855.73000000001</v>
      </c>
      <c r="X607" s="9">
        <f t="shared" si="381"/>
        <v>142855.73000000001</v>
      </c>
      <c r="Y607" s="9">
        <f t="shared" si="381"/>
        <v>142855.73000000001</v>
      </c>
      <c r="Z607" s="9">
        <f t="shared" si="381"/>
        <v>142855.73000000001</v>
      </c>
      <c r="AA607" s="9">
        <f t="shared" si="381"/>
        <v>142855.73000000001</v>
      </c>
      <c r="AB607" s="9">
        <f>9166.63+133689.08</f>
        <v>142855.71</v>
      </c>
      <c r="AC607" s="10">
        <f>SUM(Q607:AB607)</f>
        <v>1714268.76</v>
      </c>
      <c r="AD607" s="10">
        <f>45416.67+133145.84</f>
        <v>178562.51</v>
      </c>
      <c r="AE607" s="10">
        <f t="shared" ref="AE607:AN607" si="382">45416.67+133145.84</f>
        <v>178562.51</v>
      </c>
      <c r="AF607" s="10">
        <f t="shared" si="382"/>
        <v>178562.51</v>
      </c>
      <c r="AG607" s="10">
        <f t="shared" si="382"/>
        <v>178562.51</v>
      </c>
      <c r="AH607" s="10">
        <f t="shared" si="382"/>
        <v>178562.51</v>
      </c>
      <c r="AI607" s="10">
        <f>45416.67+133145.81</f>
        <v>178562.47999999998</v>
      </c>
      <c r="AJ607" s="10">
        <f t="shared" si="382"/>
        <v>178562.51</v>
      </c>
      <c r="AK607" s="10">
        <f t="shared" si="382"/>
        <v>178562.51</v>
      </c>
      <c r="AL607" s="10">
        <f t="shared" si="382"/>
        <v>178562.51</v>
      </c>
      <c r="AM607" s="10">
        <f t="shared" si="382"/>
        <v>178562.51</v>
      </c>
      <c r="AN607" s="10">
        <f t="shared" si="382"/>
        <v>178562.51</v>
      </c>
      <c r="AO607" s="55">
        <f>45416.63+133145.81</f>
        <v>178562.44</v>
      </c>
      <c r="AP607" s="10">
        <f>SUM(AD607:AO607)</f>
        <v>2142750.02</v>
      </c>
      <c r="AR607" s="33"/>
    </row>
    <row r="608" spans="1:44" ht="13.5" thickBot="1" x14ac:dyDescent="0.35">
      <c r="C608" s="11" t="s">
        <v>200</v>
      </c>
      <c r="D608" s="12">
        <f t="shared" ref="D608:O608" si="383">SUM(D605:D607)</f>
        <v>55894.27</v>
      </c>
      <c r="E608" s="12">
        <f t="shared" si="383"/>
        <v>55644.27</v>
      </c>
      <c r="F608" s="12">
        <f t="shared" si="383"/>
        <v>55644.27</v>
      </c>
      <c r="G608" s="12">
        <f t="shared" si="383"/>
        <v>55644.27</v>
      </c>
      <c r="H608" s="12">
        <f t="shared" si="383"/>
        <v>55644.27</v>
      </c>
      <c r="I608" s="12">
        <f t="shared" si="383"/>
        <v>55644.26</v>
      </c>
      <c r="J608" s="12">
        <f t="shared" si="383"/>
        <v>133689.06</v>
      </c>
      <c r="K608" s="12">
        <f t="shared" si="383"/>
        <v>133689.06</v>
      </c>
      <c r="L608" s="12">
        <f t="shared" si="383"/>
        <v>133689.06</v>
      </c>
      <c r="M608" s="12">
        <f t="shared" si="383"/>
        <v>133689.06</v>
      </c>
      <c r="N608" s="12">
        <f t="shared" si="383"/>
        <v>133689.06</v>
      </c>
      <c r="O608" s="12">
        <f t="shared" si="383"/>
        <v>133689.07999999999</v>
      </c>
      <c r="P608" s="12">
        <f>SUM(P605:P607)</f>
        <v>1136249.9900000002</v>
      </c>
      <c r="Q608" s="12">
        <f t="shared" ref="Q608:AB608" si="384">SUM(Q605:Q607)</f>
        <v>143105.73000000001</v>
      </c>
      <c r="R608" s="12">
        <f t="shared" si="384"/>
        <v>142855.73000000001</v>
      </c>
      <c r="S608" s="12">
        <f t="shared" si="384"/>
        <v>142855.73000000001</v>
      </c>
      <c r="T608" s="12">
        <f t="shared" si="384"/>
        <v>142855.73000000001</v>
      </c>
      <c r="U608" s="12">
        <f t="shared" si="384"/>
        <v>142855.73000000001</v>
      </c>
      <c r="V608" s="12">
        <f t="shared" si="384"/>
        <v>142855.75</v>
      </c>
      <c r="W608" s="12">
        <f t="shared" si="384"/>
        <v>142855.73000000001</v>
      </c>
      <c r="X608" s="12">
        <f t="shared" si="384"/>
        <v>142855.73000000001</v>
      </c>
      <c r="Y608" s="12">
        <f t="shared" si="384"/>
        <v>142855.73000000001</v>
      </c>
      <c r="Z608" s="12">
        <f t="shared" si="384"/>
        <v>142855.73000000001</v>
      </c>
      <c r="AA608" s="12">
        <f t="shared" si="384"/>
        <v>142855.73000000001</v>
      </c>
      <c r="AB608" s="12">
        <f t="shared" si="384"/>
        <v>142855.71</v>
      </c>
      <c r="AC608" s="12">
        <f>SUM(AC605:AC607)</f>
        <v>1714518.76</v>
      </c>
      <c r="AD608" s="12">
        <f>SUM(AD605:AD607)</f>
        <v>178812.51</v>
      </c>
      <c r="AE608" s="12">
        <f>SUM(AE605:AE607)</f>
        <v>178562.51</v>
      </c>
      <c r="AF608" s="12">
        <f t="shared" ref="AF608:AO608" si="385">SUM(AF605:AF607)</f>
        <v>178562.51</v>
      </c>
      <c r="AG608" s="12">
        <f t="shared" si="385"/>
        <v>178562.51</v>
      </c>
      <c r="AH608" s="12">
        <f t="shared" si="385"/>
        <v>178562.51</v>
      </c>
      <c r="AI608" s="12">
        <f t="shared" si="385"/>
        <v>178562.47999999998</v>
      </c>
      <c r="AJ608" s="12">
        <f t="shared" si="385"/>
        <v>178562.51</v>
      </c>
      <c r="AK608" s="12">
        <f t="shared" si="385"/>
        <v>178562.51</v>
      </c>
      <c r="AL608" s="12">
        <f t="shared" si="385"/>
        <v>178562.51</v>
      </c>
      <c r="AM608" s="12">
        <f t="shared" si="385"/>
        <v>178562.51</v>
      </c>
      <c r="AN608" s="12">
        <f t="shared" si="385"/>
        <v>178562.51</v>
      </c>
      <c r="AO608" s="57">
        <f t="shared" si="385"/>
        <v>178562.44</v>
      </c>
      <c r="AP608" s="12">
        <f>SUM(AP605:AP607)</f>
        <v>2143000.02</v>
      </c>
    </row>
    <row r="609" spans="1:44" x14ac:dyDescent="0.3">
      <c r="C609" s="13"/>
    </row>
    <row r="610" spans="1:44" ht="15.5" x14ac:dyDescent="0.35">
      <c r="A610" s="18">
        <f>+A604+1</f>
        <v>71</v>
      </c>
      <c r="C610" s="22" t="s">
        <v>201</v>
      </c>
    </row>
    <row r="611" spans="1:44" x14ac:dyDescent="0.3">
      <c r="C611" s="6" t="s">
        <v>7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f>SUM(D611:O611)</f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f>SUM(Q611:AB611)</f>
        <v>0</v>
      </c>
      <c r="AD611" s="10">
        <v>0</v>
      </c>
      <c r="AE611" s="10">
        <v>0</v>
      </c>
      <c r="AF611" s="10">
        <v>0</v>
      </c>
      <c r="AG611" s="10">
        <v>0</v>
      </c>
      <c r="AH611" s="10">
        <v>0</v>
      </c>
      <c r="AI611" s="10">
        <v>0</v>
      </c>
      <c r="AJ611" s="10">
        <v>0</v>
      </c>
      <c r="AK611" s="10">
        <v>0</v>
      </c>
      <c r="AL611" s="10">
        <v>0</v>
      </c>
      <c r="AM611" s="10">
        <v>0</v>
      </c>
      <c r="AN611" s="10">
        <v>0</v>
      </c>
      <c r="AO611" s="55">
        <v>0</v>
      </c>
      <c r="AP611" s="10">
        <f>SUM(AD611:AO611)</f>
        <v>0</v>
      </c>
    </row>
    <row r="612" spans="1:44" x14ac:dyDescent="0.3">
      <c r="C612" s="6" t="s">
        <v>8</v>
      </c>
      <c r="D612" s="9">
        <v>250</v>
      </c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10">
        <f>SUM(D612:O612)</f>
        <v>250</v>
      </c>
      <c r="Q612" s="9">
        <v>250</v>
      </c>
      <c r="AC612" s="10">
        <f>SUM(Q612:AB612)</f>
        <v>250</v>
      </c>
      <c r="AD612" s="9">
        <v>250</v>
      </c>
      <c r="AE612" s="9"/>
      <c r="AF612" s="9"/>
      <c r="AG612" s="9"/>
      <c r="AH612" s="9"/>
      <c r="AI612" s="9"/>
      <c r="AJ612" s="9"/>
      <c r="AK612" s="9"/>
      <c r="AL612" s="9"/>
      <c r="AM612" s="9"/>
      <c r="AN612" s="23"/>
      <c r="AO612" s="56"/>
      <c r="AP612" s="10">
        <f>SUM(AD612:AO612)</f>
        <v>250</v>
      </c>
    </row>
    <row r="613" spans="1:44" ht="13.5" thickBot="1" x14ac:dyDescent="0.35">
      <c r="C613" s="6" t="s">
        <v>9</v>
      </c>
      <c r="D613" s="9">
        <f>12500+89195.31</f>
        <v>101695.31</v>
      </c>
      <c r="E613" s="9">
        <f t="shared" ref="E613:N613" si="386">12500+89195.31</f>
        <v>101695.31</v>
      </c>
      <c r="F613" s="9">
        <f t="shared" si="386"/>
        <v>101695.31</v>
      </c>
      <c r="G613" s="9">
        <f t="shared" si="386"/>
        <v>101695.31</v>
      </c>
      <c r="H613" s="9">
        <f t="shared" si="386"/>
        <v>101695.31</v>
      </c>
      <c r="I613" s="9">
        <f>12500+89195.33</f>
        <v>101695.33</v>
      </c>
      <c r="J613" s="9">
        <f t="shared" si="386"/>
        <v>101695.31</v>
      </c>
      <c r="K613" s="9">
        <f t="shared" si="386"/>
        <v>101695.31</v>
      </c>
      <c r="L613" s="9">
        <f t="shared" si="386"/>
        <v>101695.31</v>
      </c>
      <c r="M613" s="9">
        <f t="shared" si="386"/>
        <v>101695.31</v>
      </c>
      <c r="N613" s="9">
        <f t="shared" si="386"/>
        <v>101695.31</v>
      </c>
      <c r="O613" s="9">
        <f>12500+89195.33</f>
        <v>101695.33</v>
      </c>
      <c r="P613" s="10">
        <f>SUM(D613:O613)</f>
        <v>1220343.7600000002</v>
      </c>
      <c r="Q613" s="9">
        <f>22500+88648.44</f>
        <v>111148.44</v>
      </c>
      <c r="R613" s="9">
        <f t="shared" ref="R613:AA613" si="387">22500+88648.44</f>
        <v>111148.44</v>
      </c>
      <c r="S613" s="9">
        <f t="shared" si="387"/>
        <v>111148.44</v>
      </c>
      <c r="T613" s="9">
        <f t="shared" si="387"/>
        <v>111148.44</v>
      </c>
      <c r="U613" s="9">
        <f t="shared" si="387"/>
        <v>111148.44</v>
      </c>
      <c r="V613" s="9">
        <f>22500+88648.43</f>
        <v>111148.43</v>
      </c>
      <c r="W613" s="9">
        <f t="shared" si="387"/>
        <v>111148.44</v>
      </c>
      <c r="X613" s="9">
        <f t="shared" si="387"/>
        <v>111148.44</v>
      </c>
      <c r="Y613" s="9">
        <f t="shared" si="387"/>
        <v>111148.44</v>
      </c>
      <c r="Z613" s="9">
        <f t="shared" si="387"/>
        <v>111148.44</v>
      </c>
      <c r="AA613" s="9">
        <f t="shared" si="387"/>
        <v>111148.44</v>
      </c>
      <c r="AB613" s="9">
        <f>22500+88648.43</f>
        <v>111148.43</v>
      </c>
      <c r="AC613" s="10">
        <f>SUM(Q613:AB613)</f>
        <v>1333781.2599999995</v>
      </c>
      <c r="AD613" s="10">
        <f>30000+87664.06</f>
        <v>117664.06</v>
      </c>
      <c r="AE613" s="10">
        <f t="shared" ref="AE613:AN613" si="388">30000+87664.06</f>
        <v>117664.06</v>
      </c>
      <c r="AF613" s="10">
        <f t="shared" si="388"/>
        <v>117664.06</v>
      </c>
      <c r="AG613" s="10">
        <f t="shared" si="388"/>
        <v>117664.06</v>
      </c>
      <c r="AH613" s="10">
        <f t="shared" si="388"/>
        <v>117664.06</v>
      </c>
      <c r="AI613" s="10">
        <f>30000+87664.08</f>
        <v>117664.08</v>
      </c>
      <c r="AJ613" s="10">
        <f t="shared" si="388"/>
        <v>117664.06</v>
      </c>
      <c r="AK613" s="10">
        <f t="shared" si="388"/>
        <v>117664.06</v>
      </c>
      <c r="AL613" s="10">
        <f t="shared" si="388"/>
        <v>117664.06</v>
      </c>
      <c r="AM613" s="10">
        <f t="shared" si="388"/>
        <v>117664.06</v>
      </c>
      <c r="AN613" s="10">
        <f t="shared" si="388"/>
        <v>117664.06</v>
      </c>
      <c r="AO613" s="55">
        <f>30000+87664.08</f>
        <v>117664.08</v>
      </c>
      <c r="AP613" s="10">
        <f>SUM(AD613:AO613)</f>
        <v>1411968.7600000002</v>
      </c>
      <c r="AR613" s="33"/>
    </row>
    <row r="614" spans="1:44" ht="13.5" thickBot="1" x14ac:dyDescent="0.35">
      <c r="C614" s="11" t="s">
        <v>202</v>
      </c>
      <c r="D614" s="12">
        <f t="shared" ref="D614:O614" si="389">SUM(D611:D613)</f>
        <v>101945.31</v>
      </c>
      <c r="E614" s="12">
        <f t="shared" si="389"/>
        <v>101695.31</v>
      </c>
      <c r="F614" s="12">
        <f t="shared" si="389"/>
        <v>101695.31</v>
      </c>
      <c r="G614" s="12">
        <f t="shared" si="389"/>
        <v>101695.31</v>
      </c>
      <c r="H614" s="12">
        <f t="shared" si="389"/>
        <v>101695.31</v>
      </c>
      <c r="I614" s="12">
        <f t="shared" si="389"/>
        <v>101695.33</v>
      </c>
      <c r="J614" s="12">
        <f t="shared" si="389"/>
        <v>101695.31</v>
      </c>
      <c r="K614" s="12">
        <f t="shared" si="389"/>
        <v>101695.31</v>
      </c>
      <c r="L614" s="12">
        <f t="shared" si="389"/>
        <v>101695.31</v>
      </c>
      <c r="M614" s="12">
        <f t="shared" si="389"/>
        <v>101695.31</v>
      </c>
      <c r="N614" s="12">
        <f t="shared" si="389"/>
        <v>101695.31</v>
      </c>
      <c r="O614" s="12">
        <f t="shared" si="389"/>
        <v>101695.33</v>
      </c>
      <c r="P614" s="12">
        <f>SUM(P611:P613)</f>
        <v>1220593.7600000002</v>
      </c>
      <c r="Q614" s="12">
        <f t="shared" ref="Q614:AB614" si="390">SUM(Q611:Q613)</f>
        <v>111398.44</v>
      </c>
      <c r="R614" s="12">
        <f t="shared" si="390"/>
        <v>111148.44</v>
      </c>
      <c r="S614" s="12">
        <f t="shared" si="390"/>
        <v>111148.44</v>
      </c>
      <c r="T614" s="12">
        <f t="shared" si="390"/>
        <v>111148.44</v>
      </c>
      <c r="U614" s="12">
        <f t="shared" si="390"/>
        <v>111148.44</v>
      </c>
      <c r="V614" s="12">
        <f t="shared" si="390"/>
        <v>111148.43</v>
      </c>
      <c r="W614" s="12">
        <f t="shared" si="390"/>
        <v>111148.44</v>
      </c>
      <c r="X614" s="12">
        <f t="shared" si="390"/>
        <v>111148.44</v>
      </c>
      <c r="Y614" s="12">
        <f t="shared" si="390"/>
        <v>111148.44</v>
      </c>
      <c r="Z614" s="12">
        <f t="shared" si="390"/>
        <v>111148.44</v>
      </c>
      <c r="AA614" s="12">
        <f t="shared" si="390"/>
        <v>111148.44</v>
      </c>
      <c r="AB614" s="12">
        <f t="shared" si="390"/>
        <v>111148.43</v>
      </c>
      <c r="AC614" s="12">
        <f>SUM(AC611:AC613)</f>
        <v>1334031.2599999995</v>
      </c>
      <c r="AD614" s="12">
        <f>SUM(AD611:AD613)</f>
        <v>117914.06</v>
      </c>
      <c r="AE614" s="12">
        <f>SUM(AE611:AE613)</f>
        <v>117664.06</v>
      </c>
      <c r="AF614" s="12">
        <f t="shared" ref="AF614:AO614" si="391">SUM(AF611:AF613)</f>
        <v>117664.06</v>
      </c>
      <c r="AG614" s="12">
        <f t="shared" si="391"/>
        <v>117664.06</v>
      </c>
      <c r="AH614" s="12">
        <f t="shared" si="391"/>
        <v>117664.06</v>
      </c>
      <c r="AI614" s="12">
        <f t="shared" si="391"/>
        <v>117664.08</v>
      </c>
      <c r="AJ614" s="12">
        <f t="shared" si="391"/>
        <v>117664.06</v>
      </c>
      <c r="AK614" s="12">
        <f t="shared" si="391"/>
        <v>117664.06</v>
      </c>
      <c r="AL614" s="12">
        <f t="shared" si="391"/>
        <v>117664.06</v>
      </c>
      <c r="AM614" s="12">
        <f t="shared" si="391"/>
        <v>117664.06</v>
      </c>
      <c r="AN614" s="12">
        <f t="shared" si="391"/>
        <v>117664.06</v>
      </c>
      <c r="AO614" s="57">
        <f t="shared" si="391"/>
        <v>117664.08</v>
      </c>
      <c r="AP614" s="12">
        <f>SUM(AP611:AP613)</f>
        <v>1412218.7600000002</v>
      </c>
    </row>
    <row r="615" spans="1:44" x14ac:dyDescent="0.3">
      <c r="C615" s="13"/>
    </row>
    <row r="616" spans="1:44" ht="15.5" x14ac:dyDescent="0.35">
      <c r="A616" s="18">
        <f>+A610+1</f>
        <v>72</v>
      </c>
      <c r="C616" s="22" t="s">
        <v>203</v>
      </c>
    </row>
    <row r="617" spans="1:44" x14ac:dyDescent="0.3">
      <c r="C617" s="6" t="s">
        <v>7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f>SUM(D617:O617)</f>
        <v>0</v>
      </c>
      <c r="Q617" s="10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f>SUM(Q617:AB617)</f>
        <v>0</v>
      </c>
      <c r="AD617" s="10">
        <v>0</v>
      </c>
      <c r="AE617" s="10">
        <v>0</v>
      </c>
      <c r="AF617" s="10">
        <v>0</v>
      </c>
      <c r="AG617" s="10">
        <v>0</v>
      </c>
      <c r="AH617" s="10">
        <v>0</v>
      </c>
      <c r="AI617" s="10">
        <v>0</v>
      </c>
      <c r="AJ617" s="10">
        <v>0</v>
      </c>
      <c r="AK617" s="10">
        <v>0</v>
      </c>
      <c r="AL617" s="10">
        <v>0</v>
      </c>
      <c r="AM617" s="10">
        <v>0</v>
      </c>
      <c r="AN617" s="10">
        <v>0</v>
      </c>
      <c r="AO617" s="55">
        <v>0</v>
      </c>
      <c r="AP617" s="10">
        <f>SUM(AD617:AO617)</f>
        <v>0</v>
      </c>
    </row>
    <row r="618" spans="1:44" x14ac:dyDescent="0.3">
      <c r="C618" s="6" t="s">
        <v>8</v>
      </c>
      <c r="D618" s="9">
        <v>250</v>
      </c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10">
        <f>SUM(D618:O618)</f>
        <v>250</v>
      </c>
      <c r="Q618" s="9">
        <v>250</v>
      </c>
      <c r="AC618" s="10">
        <f>SUM(Q618:AB618)</f>
        <v>250</v>
      </c>
      <c r="AD618" s="9">
        <v>250</v>
      </c>
      <c r="AE618" s="9"/>
      <c r="AF618" s="9"/>
      <c r="AG618" s="9"/>
      <c r="AH618" s="9"/>
      <c r="AI618" s="9"/>
      <c r="AJ618" s="9"/>
      <c r="AK618" s="9"/>
      <c r="AL618" s="9"/>
      <c r="AM618" s="9"/>
      <c r="AN618" s="23"/>
      <c r="AO618" s="56"/>
      <c r="AP618" s="10">
        <f>SUM(AD618:AO618)</f>
        <v>250</v>
      </c>
    </row>
    <row r="619" spans="1:44" ht="13.5" thickBot="1" x14ac:dyDescent="0.35">
      <c r="C619" s="6" t="s">
        <v>9</v>
      </c>
      <c r="D619" s="10">
        <f t="shared" ref="D619:M619" si="392">7083.33+11970</f>
        <v>19053.330000000002</v>
      </c>
      <c r="E619" s="10">
        <f t="shared" si="392"/>
        <v>19053.330000000002</v>
      </c>
      <c r="F619" s="10">
        <f t="shared" si="392"/>
        <v>19053.330000000002</v>
      </c>
      <c r="G619" s="10">
        <f t="shared" si="392"/>
        <v>19053.330000000002</v>
      </c>
      <c r="H619" s="10">
        <f t="shared" si="392"/>
        <v>19053.330000000002</v>
      </c>
      <c r="I619" s="10">
        <f t="shared" si="392"/>
        <v>19053.330000000002</v>
      </c>
      <c r="J619" s="10">
        <f t="shared" si="392"/>
        <v>19053.330000000002</v>
      </c>
      <c r="K619" s="10">
        <f t="shared" si="392"/>
        <v>19053.330000000002</v>
      </c>
      <c r="L619" s="10">
        <f t="shared" si="392"/>
        <v>19053.330000000002</v>
      </c>
      <c r="M619" s="10">
        <f t="shared" si="392"/>
        <v>19053.330000000002</v>
      </c>
      <c r="N619" s="10">
        <f>7083.37+11970</f>
        <v>19053.37</v>
      </c>
      <c r="O619" s="9">
        <f>7500+11727.75</f>
        <v>19227.75</v>
      </c>
      <c r="P619" s="10">
        <f>SUM(D619:O619)</f>
        <v>228814.42000000004</v>
      </c>
      <c r="Q619" s="9">
        <f t="shared" ref="Q619:AA619" si="393">7500+11727.75</f>
        <v>19227.75</v>
      </c>
      <c r="R619" s="9">
        <f t="shared" si="393"/>
        <v>19227.75</v>
      </c>
      <c r="S619" s="9">
        <f t="shared" si="393"/>
        <v>19227.75</v>
      </c>
      <c r="T619" s="9">
        <f t="shared" si="393"/>
        <v>19227.75</v>
      </c>
      <c r="U619" s="9">
        <f t="shared" si="393"/>
        <v>19227.75</v>
      </c>
      <c r="V619" s="9">
        <f t="shared" si="393"/>
        <v>19227.75</v>
      </c>
      <c r="W619" s="9">
        <f t="shared" si="393"/>
        <v>19227.75</v>
      </c>
      <c r="X619" s="9">
        <f t="shared" si="393"/>
        <v>19227.75</v>
      </c>
      <c r="Y619" s="9">
        <f t="shared" si="393"/>
        <v>19227.75</v>
      </c>
      <c r="Z619" s="9">
        <f t="shared" si="393"/>
        <v>19227.75</v>
      </c>
      <c r="AA619" s="9">
        <f t="shared" si="393"/>
        <v>19227.75</v>
      </c>
      <c r="AB619" s="9">
        <f>7916.67+11471.25</f>
        <v>19387.919999999998</v>
      </c>
      <c r="AC619" s="10">
        <f>SUM(Q619:AB619)</f>
        <v>230893.16999999998</v>
      </c>
      <c r="AD619" s="9">
        <f t="shared" ref="AD619:AM619" si="394">7916.67+11471.25</f>
        <v>19387.919999999998</v>
      </c>
      <c r="AE619" s="9">
        <f t="shared" si="394"/>
        <v>19387.919999999998</v>
      </c>
      <c r="AF619" s="9">
        <f t="shared" si="394"/>
        <v>19387.919999999998</v>
      </c>
      <c r="AG619" s="9">
        <f t="shared" si="394"/>
        <v>19387.919999999998</v>
      </c>
      <c r="AH619" s="9">
        <f t="shared" si="394"/>
        <v>19387.919999999998</v>
      </c>
      <c r="AI619" s="9">
        <f t="shared" si="394"/>
        <v>19387.919999999998</v>
      </c>
      <c r="AJ619" s="9">
        <f t="shared" si="394"/>
        <v>19387.919999999998</v>
      </c>
      <c r="AK619" s="9">
        <f t="shared" si="394"/>
        <v>19387.919999999998</v>
      </c>
      <c r="AL619" s="9">
        <f t="shared" si="394"/>
        <v>19387.919999999998</v>
      </c>
      <c r="AM619" s="9">
        <f t="shared" si="394"/>
        <v>19387.919999999998</v>
      </c>
      <c r="AN619" s="23">
        <f>7916.63+11471.25</f>
        <v>19387.88</v>
      </c>
      <c r="AO619" s="56">
        <f>7916.67+11200.5</f>
        <v>19117.169999999998</v>
      </c>
      <c r="AP619" s="10">
        <f>SUM(AD619:AO619)</f>
        <v>232384.24999999994</v>
      </c>
      <c r="AR619" s="33"/>
    </row>
    <row r="620" spans="1:44" ht="13.5" thickBot="1" x14ac:dyDescent="0.35">
      <c r="C620" s="11" t="s">
        <v>204</v>
      </c>
      <c r="D620" s="12">
        <f t="shared" ref="D620:O620" si="395">SUM(D617:D619)</f>
        <v>19303.330000000002</v>
      </c>
      <c r="E620" s="12">
        <f t="shared" si="395"/>
        <v>19053.330000000002</v>
      </c>
      <c r="F620" s="12">
        <f t="shared" si="395"/>
        <v>19053.330000000002</v>
      </c>
      <c r="G620" s="12">
        <f t="shared" si="395"/>
        <v>19053.330000000002</v>
      </c>
      <c r="H620" s="12">
        <f t="shared" si="395"/>
        <v>19053.330000000002</v>
      </c>
      <c r="I620" s="12">
        <f t="shared" si="395"/>
        <v>19053.330000000002</v>
      </c>
      <c r="J620" s="12">
        <f t="shared" si="395"/>
        <v>19053.330000000002</v>
      </c>
      <c r="K620" s="12">
        <f t="shared" si="395"/>
        <v>19053.330000000002</v>
      </c>
      <c r="L620" s="12">
        <f t="shared" si="395"/>
        <v>19053.330000000002</v>
      </c>
      <c r="M620" s="12">
        <f t="shared" si="395"/>
        <v>19053.330000000002</v>
      </c>
      <c r="N620" s="12">
        <f t="shared" si="395"/>
        <v>19053.37</v>
      </c>
      <c r="O620" s="12">
        <f t="shared" si="395"/>
        <v>19227.75</v>
      </c>
      <c r="P620" s="12">
        <f>SUM(P617:P619)</f>
        <v>229064.42000000004</v>
      </c>
      <c r="Q620" s="12">
        <f t="shared" ref="Q620:AB620" si="396">SUM(Q617:Q619)</f>
        <v>19477.75</v>
      </c>
      <c r="R620" s="12">
        <f t="shared" si="396"/>
        <v>19227.75</v>
      </c>
      <c r="S620" s="12">
        <f t="shared" si="396"/>
        <v>19227.75</v>
      </c>
      <c r="T620" s="12">
        <f t="shared" si="396"/>
        <v>19227.75</v>
      </c>
      <c r="U620" s="12">
        <f t="shared" si="396"/>
        <v>19227.75</v>
      </c>
      <c r="V620" s="12">
        <f t="shared" si="396"/>
        <v>19227.75</v>
      </c>
      <c r="W620" s="12">
        <f t="shared" si="396"/>
        <v>19227.75</v>
      </c>
      <c r="X620" s="12">
        <f t="shared" si="396"/>
        <v>19227.75</v>
      </c>
      <c r="Y620" s="12">
        <f t="shared" si="396"/>
        <v>19227.75</v>
      </c>
      <c r="Z620" s="12">
        <f t="shared" si="396"/>
        <v>19227.75</v>
      </c>
      <c r="AA620" s="12">
        <f t="shared" si="396"/>
        <v>19227.75</v>
      </c>
      <c r="AB620" s="12">
        <f t="shared" si="396"/>
        <v>19387.919999999998</v>
      </c>
      <c r="AC620" s="12">
        <f>SUM(AC617:AC619)</f>
        <v>231143.16999999998</v>
      </c>
      <c r="AD620" s="12">
        <f>SUM(AD617:AD619)</f>
        <v>19637.919999999998</v>
      </c>
      <c r="AE620" s="12">
        <f>SUM(AE617:AE619)</f>
        <v>19387.919999999998</v>
      </c>
      <c r="AF620" s="12">
        <f t="shared" ref="AF620:AO620" si="397">SUM(AF617:AF619)</f>
        <v>19387.919999999998</v>
      </c>
      <c r="AG620" s="12">
        <f t="shared" si="397"/>
        <v>19387.919999999998</v>
      </c>
      <c r="AH620" s="12">
        <f t="shared" si="397"/>
        <v>19387.919999999998</v>
      </c>
      <c r="AI620" s="12">
        <f t="shared" si="397"/>
        <v>19387.919999999998</v>
      </c>
      <c r="AJ620" s="12">
        <f t="shared" si="397"/>
        <v>19387.919999999998</v>
      </c>
      <c r="AK620" s="12">
        <f t="shared" si="397"/>
        <v>19387.919999999998</v>
      </c>
      <c r="AL620" s="12">
        <f t="shared" si="397"/>
        <v>19387.919999999998</v>
      </c>
      <c r="AM620" s="12">
        <f t="shared" si="397"/>
        <v>19387.919999999998</v>
      </c>
      <c r="AN620" s="12">
        <f t="shared" si="397"/>
        <v>19387.88</v>
      </c>
      <c r="AO620" s="57">
        <f t="shared" si="397"/>
        <v>19117.169999999998</v>
      </c>
      <c r="AP620" s="12">
        <f>SUM(AP617:AP619)</f>
        <v>232634.24999999994</v>
      </c>
    </row>
    <row r="621" spans="1:44" x14ac:dyDescent="0.3">
      <c r="C621" s="13"/>
    </row>
    <row r="622" spans="1:44" ht="15.5" x14ac:dyDescent="0.35">
      <c r="A622" s="18">
        <f>+A616+1</f>
        <v>73</v>
      </c>
      <c r="C622" s="22" t="s">
        <v>205</v>
      </c>
    </row>
    <row r="623" spans="1:44" x14ac:dyDescent="0.3">
      <c r="C623" s="6" t="s">
        <v>7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f>SUM(D623:O623)</f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0</v>
      </c>
      <c r="AC623" s="10">
        <f>SUM(Q623:AB623)</f>
        <v>0</v>
      </c>
      <c r="AD623" s="10">
        <v>0</v>
      </c>
      <c r="AE623" s="10">
        <v>0</v>
      </c>
      <c r="AF623" s="10">
        <v>0</v>
      </c>
      <c r="AG623" s="10">
        <v>0</v>
      </c>
      <c r="AH623" s="10">
        <v>0</v>
      </c>
      <c r="AI623" s="10">
        <v>0</v>
      </c>
      <c r="AJ623" s="10">
        <v>0</v>
      </c>
      <c r="AK623" s="10">
        <v>0</v>
      </c>
      <c r="AL623" s="10">
        <v>0</v>
      </c>
      <c r="AM623" s="10">
        <v>0</v>
      </c>
      <c r="AN623" s="10">
        <v>0</v>
      </c>
      <c r="AO623" s="55">
        <v>0</v>
      </c>
      <c r="AP623" s="10">
        <f>SUM(AD623:AO623)</f>
        <v>0</v>
      </c>
    </row>
    <row r="624" spans="1:44" x14ac:dyDescent="0.3">
      <c r="C624" s="6" t="s">
        <v>8</v>
      </c>
      <c r="D624" s="9">
        <v>250</v>
      </c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10">
        <f>SUM(D624:O624)</f>
        <v>250</v>
      </c>
      <c r="Q624" s="9">
        <v>250</v>
      </c>
      <c r="AC624" s="10">
        <f>SUM(Q624:AB624)</f>
        <v>250</v>
      </c>
      <c r="AD624" s="9">
        <v>250</v>
      </c>
      <c r="AE624" s="9"/>
      <c r="AF624" s="9"/>
      <c r="AG624" s="9"/>
      <c r="AH624" s="9"/>
      <c r="AI624" s="9"/>
      <c r="AJ624" s="9"/>
      <c r="AK624" s="9"/>
      <c r="AL624" s="9"/>
      <c r="AM624" s="9"/>
      <c r="AN624" s="23"/>
      <c r="AO624" s="56"/>
      <c r="AP624" s="10">
        <f>SUM(AD624:AO624)</f>
        <v>250</v>
      </c>
    </row>
    <row r="625" spans="1:44" ht="13.5" thickBot="1" x14ac:dyDescent="0.35">
      <c r="C625" s="6" t="s">
        <v>9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9">
        <v>6212.76</v>
      </c>
      <c r="O625" s="9">
        <v>6212.76</v>
      </c>
      <c r="P625" s="10">
        <f>SUM(D625:O625)</f>
        <v>12425.52</v>
      </c>
      <c r="Q625" s="9">
        <v>6212.76</v>
      </c>
      <c r="R625" s="9">
        <v>6212.76</v>
      </c>
      <c r="S625" s="9">
        <v>6212.76</v>
      </c>
      <c r="T625" s="9">
        <v>6212.76</v>
      </c>
      <c r="U625" s="9">
        <f>7500+24851.04</f>
        <v>32351.040000000001</v>
      </c>
      <c r="V625" s="9">
        <f t="shared" ref="V625:AF625" si="398">7500+24851.04</f>
        <v>32351.040000000001</v>
      </c>
      <c r="W625" s="9">
        <f t="shared" si="398"/>
        <v>32351.040000000001</v>
      </c>
      <c r="X625" s="9">
        <f t="shared" si="398"/>
        <v>32351.040000000001</v>
      </c>
      <c r="Y625" s="9">
        <f t="shared" si="398"/>
        <v>32351.040000000001</v>
      </c>
      <c r="Z625" s="9">
        <f>7500+24851.05</f>
        <v>32351.05</v>
      </c>
      <c r="AA625" s="9">
        <f t="shared" si="398"/>
        <v>32351.040000000001</v>
      </c>
      <c r="AB625" s="9">
        <f t="shared" si="398"/>
        <v>32351.040000000001</v>
      </c>
      <c r="AC625" s="10">
        <f>SUM(Q625:AB625)</f>
        <v>283659.37</v>
      </c>
      <c r="AD625" s="9">
        <f t="shared" si="398"/>
        <v>32351.040000000001</v>
      </c>
      <c r="AE625" s="9">
        <f t="shared" si="398"/>
        <v>32351.040000000001</v>
      </c>
      <c r="AF625" s="9">
        <f t="shared" si="398"/>
        <v>32351.040000000001</v>
      </c>
      <c r="AG625" s="9">
        <f>7500+24851.05</f>
        <v>32351.05</v>
      </c>
      <c r="AH625" s="10">
        <f>11666.67+24419.79</f>
        <v>36086.46</v>
      </c>
      <c r="AI625" s="10">
        <f t="shared" ref="AI625:AO625" si="399">11666.67+24419.79</f>
        <v>36086.46</v>
      </c>
      <c r="AJ625" s="10">
        <f t="shared" si="399"/>
        <v>36086.46</v>
      </c>
      <c r="AK625" s="10">
        <f t="shared" si="399"/>
        <v>36086.46</v>
      </c>
      <c r="AL625" s="10">
        <f t="shared" si="399"/>
        <v>36086.46</v>
      </c>
      <c r="AM625" s="10">
        <f>11666.67+24419.8</f>
        <v>36086.47</v>
      </c>
      <c r="AN625" s="10">
        <f t="shared" si="399"/>
        <v>36086.46</v>
      </c>
      <c r="AO625" s="55">
        <f t="shared" si="399"/>
        <v>36086.46</v>
      </c>
      <c r="AP625" s="10">
        <f>SUM(AD625:AO625)</f>
        <v>418095.8600000001</v>
      </c>
      <c r="AR625" s="33"/>
    </row>
    <row r="626" spans="1:44" ht="13.5" thickBot="1" x14ac:dyDescent="0.35">
      <c r="C626" s="11" t="s">
        <v>41</v>
      </c>
      <c r="D626" s="12">
        <f t="shared" ref="D626:O626" si="400">SUM(D623:D625)</f>
        <v>250</v>
      </c>
      <c r="E626" s="12">
        <f t="shared" si="400"/>
        <v>0</v>
      </c>
      <c r="F626" s="12">
        <f t="shared" si="400"/>
        <v>0</v>
      </c>
      <c r="G626" s="12">
        <f t="shared" si="400"/>
        <v>0</v>
      </c>
      <c r="H626" s="12">
        <f t="shared" si="400"/>
        <v>0</v>
      </c>
      <c r="I626" s="12">
        <f t="shared" si="400"/>
        <v>0</v>
      </c>
      <c r="J626" s="12">
        <f t="shared" si="400"/>
        <v>0</v>
      </c>
      <c r="K626" s="12">
        <f t="shared" si="400"/>
        <v>0</v>
      </c>
      <c r="L626" s="12">
        <f t="shared" si="400"/>
        <v>0</v>
      </c>
      <c r="M626" s="12">
        <f t="shared" si="400"/>
        <v>0</v>
      </c>
      <c r="N626" s="12">
        <f t="shared" si="400"/>
        <v>6212.76</v>
      </c>
      <c r="O626" s="12">
        <f t="shared" si="400"/>
        <v>6212.76</v>
      </c>
      <c r="P626" s="12">
        <f>SUM(P623:P625)</f>
        <v>12675.52</v>
      </c>
      <c r="Q626" s="12">
        <f t="shared" ref="Q626:AB626" si="401">SUM(Q623:Q625)</f>
        <v>6462.76</v>
      </c>
      <c r="R626" s="12">
        <f t="shared" si="401"/>
        <v>6212.76</v>
      </c>
      <c r="S626" s="12">
        <f t="shared" si="401"/>
        <v>6212.76</v>
      </c>
      <c r="T626" s="12">
        <f t="shared" si="401"/>
        <v>6212.76</v>
      </c>
      <c r="U626" s="12">
        <f t="shared" si="401"/>
        <v>32351.040000000001</v>
      </c>
      <c r="V626" s="12">
        <f t="shared" si="401"/>
        <v>32351.040000000001</v>
      </c>
      <c r="W626" s="12">
        <f t="shared" si="401"/>
        <v>32351.040000000001</v>
      </c>
      <c r="X626" s="12">
        <f t="shared" si="401"/>
        <v>32351.040000000001</v>
      </c>
      <c r="Y626" s="12">
        <f t="shared" si="401"/>
        <v>32351.040000000001</v>
      </c>
      <c r="Z626" s="12">
        <f t="shared" si="401"/>
        <v>32351.05</v>
      </c>
      <c r="AA626" s="12">
        <f t="shared" si="401"/>
        <v>32351.040000000001</v>
      </c>
      <c r="AB626" s="12">
        <f t="shared" si="401"/>
        <v>32351.040000000001</v>
      </c>
      <c r="AC626" s="12">
        <f>SUM(AC623:AC625)</f>
        <v>283909.37</v>
      </c>
      <c r="AD626" s="12">
        <f>SUM(AD623:AD625)</f>
        <v>32601.040000000001</v>
      </c>
      <c r="AE626" s="12">
        <f>SUM(AE623:AE625)</f>
        <v>32351.040000000001</v>
      </c>
      <c r="AF626" s="12">
        <f t="shared" ref="AF626:AO626" si="402">SUM(AF623:AF625)</f>
        <v>32351.040000000001</v>
      </c>
      <c r="AG626" s="12">
        <f t="shared" si="402"/>
        <v>32351.05</v>
      </c>
      <c r="AH626" s="12">
        <f t="shared" si="402"/>
        <v>36086.46</v>
      </c>
      <c r="AI626" s="12">
        <f t="shared" si="402"/>
        <v>36086.46</v>
      </c>
      <c r="AJ626" s="12">
        <f t="shared" si="402"/>
        <v>36086.46</v>
      </c>
      <c r="AK626" s="12">
        <f t="shared" si="402"/>
        <v>36086.46</v>
      </c>
      <c r="AL626" s="12">
        <f t="shared" si="402"/>
        <v>36086.46</v>
      </c>
      <c r="AM626" s="12">
        <f t="shared" si="402"/>
        <v>36086.47</v>
      </c>
      <c r="AN626" s="12">
        <f t="shared" si="402"/>
        <v>36086.46</v>
      </c>
      <c r="AO626" s="57">
        <f t="shared" si="402"/>
        <v>36086.46</v>
      </c>
      <c r="AP626" s="12">
        <f>SUM(AP623:AP625)</f>
        <v>418345.8600000001</v>
      </c>
    </row>
    <row r="627" spans="1:44" x14ac:dyDescent="0.3">
      <c r="C627" s="13"/>
    </row>
    <row r="628" spans="1:44" ht="15.5" x14ac:dyDescent="0.35">
      <c r="A628" s="18">
        <f>+A622+1</f>
        <v>74</v>
      </c>
      <c r="C628" s="22" t="s">
        <v>206</v>
      </c>
    </row>
    <row r="629" spans="1:44" x14ac:dyDescent="0.3">
      <c r="C629" s="6" t="s">
        <v>7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f>SUM(D629:O629)</f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f>SUM(Q629:AB629)</f>
        <v>0</v>
      </c>
      <c r="AD629" s="10">
        <v>0</v>
      </c>
      <c r="AE629" s="10">
        <v>0</v>
      </c>
      <c r="AF629" s="10">
        <v>0</v>
      </c>
      <c r="AG629" s="10">
        <v>0</v>
      </c>
      <c r="AH629" s="10">
        <v>0</v>
      </c>
      <c r="AI629" s="10">
        <v>0</v>
      </c>
      <c r="AJ629" s="10">
        <v>0</v>
      </c>
      <c r="AK629" s="10">
        <v>0</v>
      </c>
      <c r="AL629" s="10">
        <v>0</v>
      </c>
      <c r="AM629" s="10">
        <v>0</v>
      </c>
      <c r="AN629" s="10">
        <v>0</v>
      </c>
      <c r="AO629" s="55">
        <v>0</v>
      </c>
      <c r="AP629" s="10">
        <f>SUM(AD629:AO629)</f>
        <v>0</v>
      </c>
    </row>
    <row r="630" spans="1:44" x14ac:dyDescent="0.3">
      <c r="C630" s="6" t="s">
        <v>8</v>
      </c>
      <c r="D630" s="9">
        <v>250</v>
      </c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10">
        <f>SUM(D630:O630)</f>
        <v>250</v>
      </c>
      <c r="Q630" s="9">
        <v>250</v>
      </c>
      <c r="AC630" s="10">
        <f>SUM(Q630:AB630)</f>
        <v>250</v>
      </c>
      <c r="AD630" s="9">
        <v>250</v>
      </c>
      <c r="AE630" s="9"/>
      <c r="AF630" s="9"/>
      <c r="AG630" s="9"/>
      <c r="AH630" s="9"/>
      <c r="AI630" s="9"/>
      <c r="AJ630" s="9"/>
      <c r="AK630" s="9"/>
      <c r="AL630" s="9"/>
      <c r="AM630" s="9"/>
      <c r="AN630" s="23"/>
      <c r="AO630" s="56"/>
      <c r="AP630" s="10">
        <f>SUM(AD630:AO630)</f>
        <v>250</v>
      </c>
    </row>
    <row r="631" spans="1:44" ht="13.5" thickBot="1" x14ac:dyDescent="0.35">
      <c r="C631" s="6" t="s">
        <v>9</v>
      </c>
      <c r="D631" s="10">
        <v>18902.14</v>
      </c>
      <c r="E631" s="10">
        <v>18902.14</v>
      </c>
      <c r="F631" s="10">
        <v>18902.14</v>
      </c>
      <c r="G631" s="10">
        <v>18902.14</v>
      </c>
      <c r="H631" s="10">
        <v>18902.150000000001</v>
      </c>
      <c r="I631" s="10">
        <v>18902.14</v>
      </c>
      <c r="J631" s="10">
        <v>18902.14</v>
      </c>
      <c r="K631" s="10">
        <v>18902.14</v>
      </c>
      <c r="L631" s="10">
        <v>18902.14</v>
      </c>
      <c r="M631" s="10">
        <v>18902.14</v>
      </c>
      <c r="N631" s="10">
        <v>18902.18</v>
      </c>
      <c r="O631" s="9">
        <v>77895.839999999997</v>
      </c>
      <c r="P631" s="10">
        <f>SUM(D631:O631)</f>
        <v>285819.43000000005</v>
      </c>
      <c r="Q631" s="9">
        <v>77895.839999999997</v>
      </c>
      <c r="R631" s="9">
        <v>77895.839999999997</v>
      </c>
      <c r="S631" s="9">
        <v>77895.839999999997</v>
      </c>
      <c r="T631" s="9">
        <v>77895.839999999997</v>
      </c>
      <c r="U631" s="9">
        <v>77895.759999999995</v>
      </c>
      <c r="V631" s="9">
        <f t="shared" ref="V631:AG631" si="403">21250+77895.84</f>
        <v>99145.84</v>
      </c>
      <c r="W631" s="9">
        <f t="shared" si="403"/>
        <v>99145.84</v>
      </c>
      <c r="X631" s="9">
        <f t="shared" si="403"/>
        <v>99145.84</v>
      </c>
      <c r="Y631" s="9">
        <f t="shared" si="403"/>
        <v>99145.84</v>
      </c>
      <c r="Z631" s="9">
        <f t="shared" si="403"/>
        <v>99145.84</v>
      </c>
      <c r="AA631" s="9">
        <f t="shared" si="403"/>
        <v>99145.84</v>
      </c>
      <c r="AB631" s="9">
        <f t="shared" si="403"/>
        <v>99145.84</v>
      </c>
      <c r="AC631" s="10">
        <f>SUM(Q631:AB631)</f>
        <v>1083499.9999999998</v>
      </c>
      <c r="AD631" s="9">
        <f t="shared" si="403"/>
        <v>99145.84</v>
      </c>
      <c r="AE631" s="9">
        <f t="shared" si="403"/>
        <v>99145.84</v>
      </c>
      <c r="AF631" s="9">
        <f t="shared" si="403"/>
        <v>99145.84</v>
      </c>
      <c r="AG631" s="9">
        <f t="shared" si="403"/>
        <v>99145.84</v>
      </c>
      <c r="AH631" s="9">
        <f>21250+77895.76</f>
        <v>99145.76</v>
      </c>
      <c r="AI631" s="10">
        <f>22500+77045.84</f>
        <v>99545.84</v>
      </c>
      <c r="AJ631" s="10">
        <f t="shared" ref="AJ631:AO631" si="404">22500+77045.84</f>
        <v>99545.84</v>
      </c>
      <c r="AK631" s="10">
        <f t="shared" si="404"/>
        <v>99545.84</v>
      </c>
      <c r="AL631" s="10">
        <f t="shared" si="404"/>
        <v>99545.84</v>
      </c>
      <c r="AM631" s="10">
        <f t="shared" si="404"/>
        <v>99545.84</v>
      </c>
      <c r="AN631" s="10">
        <f t="shared" si="404"/>
        <v>99545.84</v>
      </c>
      <c r="AO631" s="55">
        <f t="shared" si="404"/>
        <v>99545.84</v>
      </c>
      <c r="AP631" s="10">
        <f>SUM(AD631:AO631)</f>
        <v>1192550</v>
      </c>
      <c r="AR631" s="33"/>
    </row>
    <row r="632" spans="1:44" ht="13.5" thickBot="1" x14ac:dyDescent="0.35">
      <c r="C632" s="11" t="s">
        <v>207</v>
      </c>
      <c r="D632" s="12">
        <f t="shared" ref="D632:O632" si="405">SUM(D629:D631)</f>
        <v>19152.14</v>
      </c>
      <c r="E632" s="12">
        <f t="shared" si="405"/>
        <v>18902.14</v>
      </c>
      <c r="F632" s="12">
        <f t="shared" si="405"/>
        <v>18902.14</v>
      </c>
      <c r="G632" s="12">
        <f t="shared" si="405"/>
        <v>18902.14</v>
      </c>
      <c r="H632" s="12">
        <f t="shared" si="405"/>
        <v>18902.150000000001</v>
      </c>
      <c r="I632" s="12">
        <f t="shared" si="405"/>
        <v>18902.14</v>
      </c>
      <c r="J632" s="12">
        <f t="shared" si="405"/>
        <v>18902.14</v>
      </c>
      <c r="K632" s="12">
        <f t="shared" si="405"/>
        <v>18902.14</v>
      </c>
      <c r="L632" s="12">
        <f t="shared" si="405"/>
        <v>18902.14</v>
      </c>
      <c r="M632" s="12">
        <f t="shared" si="405"/>
        <v>18902.14</v>
      </c>
      <c r="N632" s="12">
        <f t="shared" si="405"/>
        <v>18902.18</v>
      </c>
      <c r="O632" s="12">
        <f t="shared" si="405"/>
        <v>77895.839999999997</v>
      </c>
      <c r="P632" s="12">
        <f>SUM(P629:P631)</f>
        <v>286069.43000000005</v>
      </c>
      <c r="Q632" s="12">
        <f t="shared" ref="Q632:AB632" si="406">SUM(Q629:Q631)</f>
        <v>78145.84</v>
      </c>
      <c r="R632" s="12">
        <f t="shared" si="406"/>
        <v>77895.839999999997</v>
      </c>
      <c r="S632" s="12">
        <f t="shared" si="406"/>
        <v>77895.839999999997</v>
      </c>
      <c r="T632" s="12">
        <f t="shared" si="406"/>
        <v>77895.839999999997</v>
      </c>
      <c r="U632" s="12">
        <f t="shared" si="406"/>
        <v>77895.759999999995</v>
      </c>
      <c r="V632" s="12">
        <f t="shared" si="406"/>
        <v>99145.84</v>
      </c>
      <c r="W632" s="12">
        <f t="shared" si="406"/>
        <v>99145.84</v>
      </c>
      <c r="X632" s="12">
        <f t="shared" si="406"/>
        <v>99145.84</v>
      </c>
      <c r="Y632" s="12">
        <f t="shared" si="406"/>
        <v>99145.84</v>
      </c>
      <c r="Z632" s="12">
        <f t="shared" si="406"/>
        <v>99145.84</v>
      </c>
      <c r="AA632" s="12">
        <f t="shared" si="406"/>
        <v>99145.84</v>
      </c>
      <c r="AB632" s="12">
        <f t="shared" si="406"/>
        <v>99145.84</v>
      </c>
      <c r="AC632" s="12">
        <f>SUM(AC629:AC631)</f>
        <v>1083749.9999999998</v>
      </c>
      <c r="AD632" s="12">
        <f>SUM(AD629:AD631)</f>
        <v>99395.839999999997</v>
      </c>
      <c r="AE632" s="12">
        <f>SUM(AE629:AE631)</f>
        <v>99145.84</v>
      </c>
      <c r="AF632" s="12">
        <f t="shared" ref="AF632:AO632" si="407">SUM(AF629:AF631)</f>
        <v>99145.84</v>
      </c>
      <c r="AG632" s="12">
        <f t="shared" si="407"/>
        <v>99145.84</v>
      </c>
      <c r="AH632" s="12">
        <f t="shared" si="407"/>
        <v>99145.76</v>
      </c>
      <c r="AI632" s="12">
        <f t="shared" si="407"/>
        <v>99545.84</v>
      </c>
      <c r="AJ632" s="12">
        <f t="shared" si="407"/>
        <v>99545.84</v>
      </c>
      <c r="AK632" s="12">
        <f t="shared" si="407"/>
        <v>99545.84</v>
      </c>
      <c r="AL632" s="12">
        <f t="shared" si="407"/>
        <v>99545.84</v>
      </c>
      <c r="AM632" s="12">
        <f t="shared" si="407"/>
        <v>99545.84</v>
      </c>
      <c r="AN632" s="12">
        <f t="shared" si="407"/>
        <v>99545.84</v>
      </c>
      <c r="AO632" s="57">
        <f t="shared" si="407"/>
        <v>99545.84</v>
      </c>
      <c r="AP632" s="12">
        <f>SUM(AP629:AP631)</f>
        <v>1192800</v>
      </c>
    </row>
    <row r="633" spans="1:44" x14ac:dyDescent="0.3">
      <c r="C633" s="13"/>
    </row>
    <row r="634" spans="1:44" ht="15.5" x14ac:dyDescent="0.35">
      <c r="A634" s="18">
        <f>+A628+1</f>
        <v>75</v>
      </c>
      <c r="C634" s="22" t="s">
        <v>208</v>
      </c>
    </row>
    <row r="635" spans="1:44" x14ac:dyDescent="0.3">
      <c r="C635" s="6" t="s">
        <v>7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0</v>
      </c>
      <c r="O635" s="10">
        <v>0</v>
      </c>
      <c r="P635" s="10">
        <f>SUM(D635:O635)</f>
        <v>0</v>
      </c>
      <c r="Q635" s="10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f>SUM(Q635:AB635)</f>
        <v>0</v>
      </c>
      <c r="AD635" s="10">
        <v>0</v>
      </c>
      <c r="AE635" s="10">
        <v>0</v>
      </c>
      <c r="AF635" s="10">
        <v>0</v>
      </c>
      <c r="AG635" s="10">
        <v>0</v>
      </c>
      <c r="AH635" s="10">
        <v>0</v>
      </c>
      <c r="AI635" s="10">
        <v>0</v>
      </c>
      <c r="AJ635" s="10">
        <v>0</v>
      </c>
      <c r="AK635" s="10">
        <v>0</v>
      </c>
      <c r="AL635" s="10">
        <v>0</v>
      </c>
      <c r="AM635" s="10">
        <v>0</v>
      </c>
      <c r="AN635" s="10">
        <v>0</v>
      </c>
      <c r="AO635" s="55">
        <v>0</v>
      </c>
      <c r="AP635" s="10">
        <f>SUM(AD635:AO635)</f>
        <v>0</v>
      </c>
    </row>
    <row r="636" spans="1:44" x14ac:dyDescent="0.3">
      <c r="C636" s="6" t="s">
        <v>8</v>
      </c>
      <c r="D636" s="9">
        <v>250</v>
      </c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10">
        <f>SUM(D636:O636)</f>
        <v>250</v>
      </c>
      <c r="Q636" s="9">
        <v>250</v>
      </c>
      <c r="AC636" s="10">
        <f>SUM(Q636:AB636)</f>
        <v>250</v>
      </c>
      <c r="AD636" s="9">
        <v>250</v>
      </c>
      <c r="AE636" s="9"/>
      <c r="AF636" s="9"/>
      <c r="AG636" s="9"/>
      <c r="AH636" s="9"/>
      <c r="AI636" s="9"/>
      <c r="AJ636" s="9"/>
      <c r="AK636" s="9"/>
      <c r="AL636" s="9"/>
      <c r="AM636" s="9"/>
      <c r="AN636" s="23"/>
      <c r="AO636" s="56"/>
      <c r="AP636" s="10">
        <f>SUM(AD636:AO636)</f>
        <v>250</v>
      </c>
    </row>
    <row r="637" spans="1:44" ht="13.5" thickBot="1" x14ac:dyDescent="0.35">
      <c r="C637" s="6" t="s">
        <v>9</v>
      </c>
      <c r="D637" s="9">
        <v>24397.17</v>
      </c>
      <c r="E637" s="9">
        <v>24357.39</v>
      </c>
      <c r="F637" s="9">
        <v>23855.75</v>
      </c>
      <c r="G637" s="9">
        <v>24277.82</v>
      </c>
      <c r="H637" s="9">
        <v>23778.75</v>
      </c>
      <c r="I637" s="9">
        <v>24198.26</v>
      </c>
      <c r="J637" s="9">
        <v>24158.47</v>
      </c>
      <c r="K637" s="9">
        <v>27752.36</v>
      </c>
      <c r="L637" s="9">
        <v>24059.01</v>
      </c>
      <c r="M637" s="9">
        <v>23567</v>
      </c>
      <c r="N637" s="9">
        <v>23979.45</v>
      </c>
      <c r="O637" s="9">
        <v>23490</v>
      </c>
      <c r="P637" s="10">
        <f>SUM(D637:O637)</f>
        <v>291871.43000000005</v>
      </c>
      <c r="Q637" s="9">
        <v>23899.88</v>
      </c>
      <c r="R637" s="9">
        <v>23860.1</v>
      </c>
      <c r="S637" s="9">
        <v>23374.5</v>
      </c>
      <c r="T637" s="9">
        <v>23780.53</v>
      </c>
      <c r="U637" s="9">
        <v>23297.5</v>
      </c>
      <c r="V637" s="9">
        <v>23700.959999999999</v>
      </c>
      <c r="W637" s="9">
        <v>23661.18</v>
      </c>
      <c r="X637" s="9">
        <v>27303.200000000001</v>
      </c>
      <c r="Y637" s="9">
        <v>23561.72</v>
      </c>
      <c r="Z637" s="9">
        <v>23085.75</v>
      </c>
      <c r="AA637" s="9">
        <v>23482.16</v>
      </c>
      <c r="AB637" s="9">
        <v>23008.75</v>
      </c>
      <c r="AC637" s="10">
        <f>SUM(Q637:AB637)</f>
        <v>286016.23</v>
      </c>
      <c r="AD637" s="10">
        <v>23402.59</v>
      </c>
      <c r="AE637" s="10">
        <v>23362.81</v>
      </c>
      <c r="AF637" s="10">
        <v>22893.25</v>
      </c>
      <c r="AG637" s="10">
        <v>23283.24</v>
      </c>
      <c r="AH637" s="10">
        <v>27816.25</v>
      </c>
      <c r="AI637" s="10">
        <v>23183.78</v>
      </c>
      <c r="AJ637" s="10">
        <v>23144</v>
      </c>
      <c r="AK637" s="10">
        <v>27258.79</v>
      </c>
      <c r="AL637" s="10">
        <v>23044.54</v>
      </c>
      <c r="AM637" s="10">
        <v>27585.25</v>
      </c>
      <c r="AN637" s="10">
        <v>22945.08</v>
      </c>
      <c r="AO637" s="55">
        <v>27489</v>
      </c>
      <c r="AP637" s="10">
        <f>SUM(AD637:AO637)</f>
        <v>295408.58</v>
      </c>
      <c r="AR637" s="33"/>
    </row>
    <row r="638" spans="1:44" ht="13.5" thickBot="1" x14ac:dyDescent="0.35">
      <c r="C638" s="11" t="s">
        <v>209</v>
      </c>
      <c r="D638" s="12">
        <f t="shared" ref="D638:O638" si="408">SUM(D635:D637)</f>
        <v>24647.17</v>
      </c>
      <c r="E638" s="12">
        <f t="shared" si="408"/>
        <v>24357.39</v>
      </c>
      <c r="F638" s="12">
        <f t="shared" si="408"/>
        <v>23855.75</v>
      </c>
      <c r="G638" s="12">
        <f t="shared" si="408"/>
        <v>24277.82</v>
      </c>
      <c r="H638" s="12">
        <f t="shared" si="408"/>
        <v>23778.75</v>
      </c>
      <c r="I638" s="12">
        <f t="shared" si="408"/>
        <v>24198.26</v>
      </c>
      <c r="J638" s="12">
        <f t="shared" si="408"/>
        <v>24158.47</v>
      </c>
      <c r="K638" s="12">
        <f t="shared" si="408"/>
        <v>27752.36</v>
      </c>
      <c r="L638" s="12">
        <f t="shared" si="408"/>
        <v>24059.01</v>
      </c>
      <c r="M638" s="12">
        <f t="shared" si="408"/>
        <v>23567</v>
      </c>
      <c r="N638" s="12">
        <f t="shared" si="408"/>
        <v>23979.45</v>
      </c>
      <c r="O638" s="12">
        <f t="shared" si="408"/>
        <v>23490</v>
      </c>
      <c r="P638" s="12">
        <f>SUM(P635:P637)</f>
        <v>292121.43000000005</v>
      </c>
      <c r="Q638" s="12">
        <f t="shared" ref="Q638:AB638" si="409">SUM(Q635:Q637)</f>
        <v>24149.88</v>
      </c>
      <c r="R638" s="12">
        <f t="shared" si="409"/>
        <v>23860.1</v>
      </c>
      <c r="S638" s="12">
        <f t="shared" si="409"/>
        <v>23374.5</v>
      </c>
      <c r="T638" s="12">
        <f t="shared" si="409"/>
        <v>23780.53</v>
      </c>
      <c r="U638" s="12">
        <f t="shared" si="409"/>
        <v>23297.5</v>
      </c>
      <c r="V638" s="12">
        <f t="shared" si="409"/>
        <v>23700.959999999999</v>
      </c>
      <c r="W638" s="12">
        <f t="shared" si="409"/>
        <v>23661.18</v>
      </c>
      <c r="X638" s="12">
        <f t="shared" si="409"/>
        <v>27303.200000000001</v>
      </c>
      <c r="Y638" s="12">
        <f t="shared" si="409"/>
        <v>23561.72</v>
      </c>
      <c r="Z638" s="12">
        <f t="shared" si="409"/>
        <v>23085.75</v>
      </c>
      <c r="AA638" s="12">
        <f t="shared" si="409"/>
        <v>23482.16</v>
      </c>
      <c r="AB638" s="12">
        <f t="shared" si="409"/>
        <v>23008.75</v>
      </c>
      <c r="AC638" s="12">
        <f>SUM(AC635:AC637)</f>
        <v>286266.23</v>
      </c>
      <c r="AD638" s="12">
        <f>SUM(AD635:AD637)</f>
        <v>23652.59</v>
      </c>
      <c r="AE638" s="12">
        <f>SUM(AE635:AE637)</f>
        <v>23362.81</v>
      </c>
      <c r="AF638" s="12">
        <f t="shared" ref="AF638:AO638" si="410">SUM(AF635:AF637)</f>
        <v>22893.25</v>
      </c>
      <c r="AG638" s="12">
        <f t="shared" si="410"/>
        <v>23283.24</v>
      </c>
      <c r="AH638" s="12">
        <f t="shared" si="410"/>
        <v>27816.25</v>
      </c>
      <c r="AI638" s="12">
        <f t="shared" si="410"/>
        <v>23183.78</v>
      </c>
      <c r="AJ638" s="12">
        <f t="shared" si="410"/>
        <v>23144</v>
      </c>
      <c r="AK638" s="12">
        <f t="shared" si="410"/>
        <v>27258.79</v>
      </c>
      <c r="AL638" s="12">
        <f t="shared" si="410"/>
        <v>23044.54</v>
      </c>
      <c r="AM638" s="12">
        <f t="shared" si="410"/>
        <v>27585.25</v>
      </c>
      <c r="AN638" s="12">
        <f t="shared" si="410"/>
        <v>22945.08</v>
      </c>
      <c r="AO638" s="57">
        <f t="shared" si="410"/>
        <v>27489</v>
      </c>
      <c r="AP638" s="12">
        <f>SUM(AP635:AP637)</f>
        <v>295658.58</v>
      </c>
    </row>
    <row r="639" spans="1:44" x14ac:dyDescent="0.3">
      <c r="C639" s="13"/>
    </row>
    <row r="640" spans="1:44" ht="15.5" x14ac:dyDescent="0.35">
      <c r="A640" s="18">
        <f>+A634+1</f>
        <v>76</v>
      </c>
      <c r="C640" s="22" t="s">
        <v>210</v>
      </c>
    </row>
    <row r="641" spans="1:44" x14ac:dyDescent="0.3">
      <c r="C641" s="6" t="s">
        <v>7</v>
      </c>
      <c r="D641" s="10">
        <v>1615</v>
      </c>
      <c r="E641" s="10">
        <v>1615</v>
      </c>
      <c r="F641" s="10">
        <v>1615</v>
      </c>
      <c r="G641" s="10">
        <v>1615</v>
      </c>
      <c r="H641" s="10">
        <v>1615</v>
      </c>
      <c r="I641" s="10">
        <v>1615</v>
      </c>
      <c r="J641" s="10">
        <v>1615</v>
      </c>
      <c r="K641" s="9">
        <v>1480.42</v>
      </c>
      <c r="L641" s="9">
        <v>1480.42</v>
      </c>
      <c r="M641" s="9">
        <v>1480.42</v>
      </c>
      <c r="N641" s="9">
        <v>1480.42</v>
      </c>
      <c r="O641" s="9">
        <v>1480.42</v>
      </c>
      <c r="P641" s="10">
        <f>SUM(D641:O641)</f>
        <v>18707.099999999999</v>
      </c>
      <c r="Q641" s="9">
        <v>1480.42</v>
      </c>
      <c r="R641" s="9">
        <v>1480.42</v>
      </c>
      <c r="S641" s="9">
        <v>1480.42</v>
      </c>
      <c r="T641" s="9">
        <v>1480.42</v>
      </c>
      <c r="U641" s="9">
        <v>1480.42</v>
      </c>
      <c r="V641" s="9">
        <v>1480.42</v>
      </c>
      <c r="W641" s="9">
        <v>1480.42</v>
      </c>
      <c r="X641" s="9">
        <v>1480.42</v>
      </c>
      <c r="Y641" s="9">
        <v>1480.42</v>
      </c>
      <c r="Z641" s="9">
        <v>1480.42</v>
      </c>
      <c r="AA641" s="9">
        <v>1480.42</v>
      </c>
      <c r="AB641" s="9">
        <v>1480.42</v>
      </c>
      <c r="AC641" s="10">
        <f>SUM(Q641:AB641)</f>
        <v>17765.04</v>
      </c>
      <c r="AD641" s="9">
        <v>1480.42</v>
      </c>
      <c r="AE641" s="9">
        <v>1480.42</v>
      </c>
      <c r="AF641" s="9">
        <v>1480.42</v>
      </c>
      <c r="AG641" s="9">
        <v>1480.42</v>
      </c>
      <c r="AH641" s="9">
        <v>1480.42</v>
      </c>
      <c r="AI641" s="9">
        <v>1480.42</v>
      </c>
      <c r="AJ641" s="9">
        <v>1480.42</v>
      </c>
      <c r="AK641" s="10">
        <v>1450.83</v>
      </c>
      <c r="AL641" s="10">
        <v>1450.83</v>
      </c>
      <c r="AM641" s="10">
        <v>1450.83</v>
      </c>
      <c r="AN641" s="10">
        <v>1450.83</v>
      </c>
      <c r="AO641" s="55">
        <v>1450.83</v>
      </c>
      <c r="AP641" s="10">
        <f>SUM(AD641:AO641)</f>
        <v>17617.09</v>
      </c>
    </row>
    <row r="642" spans="1:44" x14ac:dyDescent="0.3">
      <c r="C642" s="6" t="s">
        <v>8</v>
      </c>
      <c r="D642" s="9">
        <v>250</v>
      </c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10">
        <f>SUM(D642:O642)</f>
        <v>250</v>
      </c>
      <c r="Q642" s="9">
        <v>250</v>
      </c>
      <c r="AC642" s="10">
        <f>SUM(Q642:AB642)</f>
        <v>250</v>
      </c>
      <c r="AD642" s="9">
        <v>250</v>
      </c>
      <c r="AE642" s="9"/>
      <c r="AF642" s="9"/>
      <c r="AG642" s="9"/>
      <c r="AH642" s="9"/>
      <c r="AI642" s="9"/>
      <c r="AJ642" s="9"/>
      <c r="AK642" s="9"/>
      <c r="AL642" s="9"/>
      <c r="AM642" s="9"/>
      <c r="AN642" s="23"/>
      <c r="AO642" s="56"/>
      <c r="AP642" s="10">
        <f>SUM(AD642:AO642)</f>
        <v>250</v>
      </c>
    </row>
    <row r="643" spans="1:44" ht="13.5" thickBot="1" x14ac:dyDescent="0.35">
      <c r="C643" s="6" t="s">
        <v>9</v>
      </c>
      <c r="D643" s="10">
        <v>59216.67</v>
      </c>
      <c r="E643" s="10">
        <v>59216.67</v>
      </c>
      <c r="F643" s="10">
        <v>59216.67</v>
      </c>
      <c r="G643" s="10">
        <v>59216.67</v>
      </c>
      <c r="H643" s="10">
        <v>59216.65</v>
      </c>
      <c r="I643" s="10">
        <v>59216.67</v>
      </c>
      <c r="J643" s="10">
        <v>59216.67</v>
      </c>
      <c r="K643" s="10">
        <v>59216.67</v>
      </c>
      <c r="L643" s="10">
        <v>59216.67</v>
      </c>
      <c r="M643" s="10">
        <v>59216.67</v>
      </c>
      <c r="N643" s="10">
        <v>59216.65</v>
      </c>
      <c r="O643" s="10">
        <v>59216.67</v>
      </c>
      <c r="P643" s="10">
        <f>SUM(D643:O643)</f>
        <v>710600.00000000012</v>
      </c>
      <c r="Q643" s="10">
        <v>59216.67</v>
      </c>
      <c r="R643" s="10">
        <v>59216.67</v>
      </c>
      <c r="S643" s="10">
        <v>59216.67</v>
      </c>
      <c r="T643" s="10">
        <v>59216.67</v>
      </c>
      <c r="U643" s="10">
        <v>59216.65</v>
      </c>
      <c r="V643" s="10">
        <f>29583.33+59216.67</f>
        <v>88800</v>
      </c>
      <c r="W643" s="10">
        <f t="shared" ref="W643:AG643" si="411">29583.33+59216.67</f>
        <v>88800</v>
      </c>
      <c r="X643" s="10">
        <f t="shared" si="411"/>
        <v>88800</v>
      </c>
      <c r="Y643" s="10">
        <f t="shared" si="411"/>
        <v>88800</v>
      </c>
      <c r="Z643" s="10">
        <f t="shared" si="411"/>
        <v>88800</v>
      </c>
      <c r="AA643" s="10">
        <f>29583.33+59216.65</f>
        <v>88799.98000000001</v>
      </c>
      <c r="AB643" s="10">
        <f t="shared" si="411"/>
        <v>88800</v>
      </c>
      <c r="AC643" s="10">
        <f>SUM(Q643:AB643)</f>
        <v>917683.31</v>
      </c>
      <c r="AD643" s="10">
        <f t="shared" si="411"/>
        <v>88800</v>
      </c>
      <c r="AE643" s="10">
        <f t="shared" si="411"/>
        <v>88800</v>
      </c>
      <c r="AF643" s="10">
        <f t="shared" si="411"/>
        <v>88800</v>
      </c>
      <c r="AG643" s="10">
        <f t="shared" si="411"/>
        <v>88800</v>
      </c>
      <c r="AH643" s="10">
        <f>29583.37+59216.65</f>
        <v>88800.02</v>
      </c>
      <c r="AI643" s="10">
        <f>30833.33+58033.33</f>
        <v>88866.66</v>
      </c>
      <c r="AJ643" s="10">
        <f t="shared" ref="AJ643:AO643" si="412">30833.33+58033.33</f>
        <v>88866.66</v>
      </c>
      <c r="AK643" s="10">
        <f t="shared" si="412"/>
        <v>88866.66</v>
      </c>
      <c r="AL643" s="10">
        <f t="shared" si="412"/>
        <v>88866.66</v>
      </c>
      <c r="AM643" s="10">
        <f t="shared" si="412"/>
        <v>88866.66</v>
      </c>
      <c r="AN643" s="10">
        <f>30833.33+58033.35</f>
        <v>88866.68</v>
      </c>
      <c r="AO643" s="55">
        <f t="shared" si="412"/>
        <v>88866.66</v>
      </c>
      <c r="AP643" s="10">
        <f>SUM(AD643:AO643)</f>
        <v>1066066.6600000001</v>
      </c>
      <c r="AR643" s="33"/>
    </row>
    <row r="644" spans="1:44" ht="13.5" thickBot="1" x14ac:dyDescent="0.35">
      <c r="C644" s="11" t="s">
        <v>32</v>
      </c>
      <c r="D644" s="12">
        <f t="shared" ref="D644:O644" si="413">SUM(D641:D643)</f>
        <v>61081.67</v>
      </c>
      <c r="E644" s="12">
        <f t="shared" si="413"/>
        <v>60831.67</v>
      </c>
      <c r="F644" s="12">
        <f t="shared" si="413"/>
        <v>60831.67</v>
      </c>
      <c r="G644" s="12">
        <f t="shared" si="413"/>
        <v>60831.67</v>
      </c>
      <c r="H644" s="12">
        <f t="shared" si="413"/>
        <v>60831.65</v>
      </c>
      <c r="I644" s="12">
        <f t="shared" si="413"/>
        <v>60831.67</v>
      </c>
      <c r="J644" s="12">
        <f t="shared" si="413"/>
        <v>60831.67</v>
      </c>
      <c r="K644" s="12">
        <f t="shared" si="413"/>
        <v>60697.09</v>
      </c>
      <c r="L644" s="12">
        <f t="shared" si="413"/>
        <v>60697.09</v>
      </c>
      <c r="M644" s="12">
        <f t="shared" si="413"/>
        <v>60697.09</v>
      </c>
      <c r="N644" s="12">
        <f t="shared" si="413"/>
        <v>60697.07</v>
      </c>
      <c r="O644" s="12">
        <f t="shared" si="413"/>
        <v>60697.09</v>
      </c>
      <c r="P644" s="12">
        <f>SUM(P641:P643)</f>
        <v>729557.10000000009</v>
      </c>
      <c r="Q644" s="12">
        <f t="shared" ref="Q644:AB644" si="414">SUM(Q641:Q643)</f>
        <v>60947.09</v>
      </c>
      <c r="R644" s="12">
        <f t="shared" si="414"/>
        <v>60697.09</v>
      </c>
      <c r="S644" s="12">
        <f t="shared" si="414"/>
        <v>60697.09</v>
      </c>
      <c r="T644" s="12">
        <f t="shared" si="414"/>
        <v>60697.09</v>
      </c>
      <c r="U644" s="12">
        <f t="shared" si="414"/>
        <v>60697.07</v>
      </c>
      <c r="V644" s="12">
        <f t="shared" si="414"/>
        <v>90280.42</v>
      </c>
      <c r="W644" s="12">
        <f t="shared" si="414"/>
        <v>90280.42</v>
      </c>
      <c r="X644" s="12">
        <f t="shared" si="414"/>
        <v>90280.42</v>
      </c>
      <c r="Y644" s="12">
        <f t="shared" si="414"/>
        <v>90280.42</v>
      </c>
      <c r="Z644" s="12">
        <f t="shared" si="414"/>
        <v>90280.42</v>
      </c>
      <c r="AA644" s="12">
        <f t="shared" si="414"/>
        <v>90280.400000000009</v>
      </c>
      <c r="AB644" s="12">
        <f t="shared" si="414"/>
        <v>90280.42</v>
      </c>
      <c r="AC644" s="12">
        <f>SUM(AC641:AC643)</f>
        <v>935698.35000000009</v>
      </c>
      <c r="AD644" s="12">
        <f>SUM(AD641:AD643)</f>
        <v>90530.42</v>
      </c>
      <c r="AE644" s="12">
        <f>SUM(AE641:AE643)</f>
        <v>90280.42</v>
      </c>
      <c r="AF644" s="12">
        <f t="shared" ref="AF644:AO644" si="415">SUM(AF641:AF643)</f>
        <v>90280.42</v>
      </c>
      <c r="AG644" s="12">
        <f t="shared" si="415"/>
        <v>90280.42</v>
      </c>
      <c r="AH644" s="12">
        <f t="shared" si="415"/>
        <v>90280.44</v>
      </c>
      <c r="AI644" s="12">
        <f t="shared" si="415"/>
        <v>90347.08</v>
      </c>
      <c r="AJ644" s="12">
        <f t="shared" si="415"/>
        <v>90347.08</v>
      </c>
      <c r="AK644" s="12">
        <f t="shared" si="415"/>
        <v>90317.49</v>
      </c>
      <c r="AL644" s="12">
        <f t="shared" si="415"/>
        <v>90317.49</v>
      </c>
      <c r="AM644" s="12">
        <f t="shared" si="415"/>
        <v>90317.49</v>
      </c>
      <c r="AN644" s="12">
        <f t="shared" si="415"/>
        <v>90317.51</v>
      </c>
      <c r="AO644" s="57">
        <f t="shared" si="415"/>
        <v>90317.49</v>
      </c>
      <c r="AP644" s="12">
        <f>SUM(AP641:AP643)</f>
        <v>1083933.7500000002</v>
      </c>
    </row>
    <row r="645" spans="1:44" x14ac:dyDescent="0.3">
      <c r="C645" s="13"/>
    </row>
    <row r="646" spans="1:44" ht="15.5" x14ac:dyDescent="0.35">
      <c r="A646" s="18">
        <f>+A640+1</f>
        <v>77</v>
      </c>
      <c r="C646" s="22" t="s">
        <v>211</v>
      </c>
    </row>
    <row r="647" spans="1:44" x14ac:dyDescent="0.3">
      <c r="C647" s="6" t="s">
        <v>7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f>SUM(D647:O647)</f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f>SUM(Q647:AB647)</f>
        <v>0</v>
      </c>
      <c r="AD647" s="10">
        <v>0</v>
      </c>
      <c r="AE647" s="10">
        <v>0</v>
      </c>
      <c r="AF647" s="10">
        <v>0</v>
      </c>
      <c r="AG647" s="10">
        <v>0</v>
      </c>
      <c r="AH647" s="10">
        <v>0</v>
      </c>
      <c r="AI647" s="10">
        <v>0</v>
      </c>
      <c r="AJ647" s="10">
        <v>0</v>
      </c>
      <c r="AK647" s="10">
        <v>0</v>
      </c>
      <c r="AL647" s="10">
        <v>0</v>
      </c>
      <c r="AM647" s="10">
        <v>0</v>
      </c>
      <c r="AN647" s="10">
        <v>0</v>
      </c>
      <c r="AO647" s="55">
        <v>0</v>
      </c>
      <c r="AP647" s="10">
        <f>SUM(AD647:AO647)</f>
        <v>0</v>
      </c>
    </row>
    <row r="648" spans="1:44" x14ac:dyDescent="0.3">
      <c r="C648" s="6" t="s">
        <v>8</v>
      </c>
      <c r="D648" s="9">
        <v>250</v>
      </c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10">
        <f>SUM(D648:O648)</f>
        <v>250</v>
      </c>
      <c r="Q648" s="9">
        <v>250</v>
      </c>
      <c r="AC648" s="10">
        <f>SUM(Q648:AB648)</f>
        <v>250</v>
      </c>
      <c r="AD648" s="9">
        <v>250</v>
      </c>
      <c r="AE648" s="9"/>
      <c r="AF648" s="9"/>
      <c r="AG648" s="9"/>
      <c r="AH648" s="9"/>
      <c r="AI648" s="9"/>
      <c r="AJ648" s="9"/>
      <c r="AK648" s="9"/>
      <c r="AL648" s="9"/>
      <c r="AM648" s="9"/>
      <c r="AN648" s="23"/>
      <c r="AO648" s="56"/>
      <c r="AP648" s="10">
        <f>SUM(AD648:AO648)</f>
        <v>250</v>
      </c>
    </row>
    <row r="649" spans="1:44" ht="13.5" thickBot="1" x14ac:dyDescent="0.35">
      <c r="C649" s="6" t="s">
        <v>9</v>
      </c>
      <c r="D649" s="9">
        <v>55899.25</v>
      </c>
      <c r="E649" s="9">
        <v>55899.25</v>
      </c>
      <c r="F649" s="9">
        <v>55899.25</v>
      </c>
      <c r="G649" s="9">
        <v>55899.25</v>
      </c>
      <c r="H649" s="9">
        <v>55899.25</v>
      </c>
      <c r="I649" s="9">
        <v>55899.25</v>
      </c>
      <c r="J649" s="9">
        <v>55899.25</v>
      </c>
      <c r="K649" s="9">
        <v>55899.25</v>
      </c>
      <c r="L649" s="9">
        <v>55899.25</v>
      </c>
      <c r="M649" s="9">
        <v>55899.25</v>
      </c>
      <c r="N649" s="9">
        <v>55899.25</v>
      </c>
      <c r="O649" s="9">
        <v>55899.25</v>
      </c>
      <c r="P649" s="10">
        <f>SUM(D649:O649)</f>
        <v>670791</v>
      </c>
      <c r="Q649" s="9">
        <v>55899.25</v>
      </c>
      <c r="R649" s="9">
        <v>55899.25</v>
      </c>
      <c r="S649" s="9">
        <v>55899.25</v>
      </c>
      <c r="T649" s="9">
        <v>55899.25</v>
      </c>
      <c r="U649" s="9">
        <v>55899.26</v>
      </c>
      <c r="V649" s="9">
        <v>55899.26</v>
      </c>
      <c r="W649" s="9">
        <v>55899.25</v>
      </c>
      <c r="X649" s="9">
        <v>55899.25</v>
      </c>
      <c r="Y649" s="9">
        <v>55899.25</v>
      </c>
      <c r="Z649" s="9">
        <v>55899.25</v>
      </c>
      <c r="AA649" s="9">
        <v>55899.26</v>
      </c>
      <c r="AB649" s="9">
        <v>55899.25</v>
      </c>
      <c r="AC649" s="10">
        <f>SUM(Q649:AB649)</f>
        <v>670791.03</v>
      </c>
      <c r="AD649" s="10">
        <v>55899.25</v>
      </c>
      <c r="AE649" s="10">
        <v>55899.25</v>
      </c>
      <c r="AF649" s="10">
        <v>55899.25</v>
      </c>
      <c r="AG649" s="10">
        <v>55899.25</v>
      </c>
      <c r="AH649" s="10">
        <v>55899.25</v>
      </c>
      <c r="AI649" s="10">
        <v>55899.25</v>
      </c>
      <c r="AJ649" s="10">
        <v>55899.25</v>
      </c>
      <c r="AK649" s="10">
        <v>55899.25</v>
      </c>
      <c r="AL649" s="10">
        <v>55899.25</v>
      </c>
      <c r="AM649" s="10">
        <v>55899.25</v>
      </c>
      <c r="AN649" s="10">
        <v>55899.25</v>
      </c>
      <c r="AO649" s="55">
        <v>55899.26</v>
      </c>
      <c r="AP649" s="10">
        <f>SUM(AD649:AO649)</f>
        <v>670791.01</v>
      </c>
      <c r="AR649" s="33"/>
    </row>
    <row r="650" spans="1:44" ht="13.5" thickBot="1" x14ac:dyDescent="0.35">
      <c r="C650" s="11" t="s">
        <v>212</v>
      </c>
      <c r="D650" s="12">
        <f t="shared" ref="D650:O650" si="416">SUM(D647:D649)</f>
        <v>56149.25</v>
      </c>
      <c r="E650" s="12">
        <f t="shared" si="416"/>
        <v>55899.25</v>
      </c>
      <c r="F650" s="12">
        <f t="shared" si="416"/>
        <v>55899.25</v>
      </c>
      <c r="G650" s="12">
        <f t="shared" si="416"/>
        <v>55899.25</v>
      </c>
      <c r="H650" s="12">
        <f t="shared" si="416"/>
        <v>55899.25</v>
      </c>
      <c r="I650" s="12">
        <f t="shared" si="416"/>
        <v>55899.25</v>
      </c>
      <c r="J650" s="12">
        <f t="shared" si="416"/>
        <v>55899.25</v>
      </c>
      <c r="K650" s="12">
        <f t="shared" si="416"/>
        <v>55899.25</v>
      </c>
      <c r="L650" s="12">
        <f t="shared" si="416"/>
        <v>55899.25</v>
      </c>
      <c r="M650" s="12">
        <f t="shared" si="416"/>
        <v>55899.25</v>
      </c>
      <c r="N650" s="12">
        <f t="shared" si="416"/>
        <v>55899.25</v>
      </c>
      <c r="O650" s="12">
        <f t="shared" si="416"/>
        <v>55899.25</v>
      </c>
      <c r="P650" s="12">
        <f>SUM(P647:P649)</f>
        <v>671041</v>
      </c>
      <c r="Q650" s="12">
        <f t="shared" ref="Q650:AB650" si="417">SUM(Q647:Q649)</f>
        <v>56149.25</v>
      </c>
      <c r="R650" s="12">
        <f t="shared" si="417"/>
        <v>55899.25</v>
      </c>
      <c r="S650" s="12">
        <f t="shared" si="417"/>
        <v>55899.25</v>
      </c>
      <c r="T650" s="12">
        <f t="shared" si="417"/>
        <v>55899.25</v>
      </c>
      <c r="U650" s="12">
        <f t="shared" si="417"/>
        <v>55899.26</v>
      </c>
      <c r="V650" s="12">
        <f t="shared" si="417"/>
        <v>55899.26</v>
      </c>
      <c r="W650" s="12">
        <f t="shared" si="417"/>
        <v>55899.25</v>
      </c>
      <c r="X650" s="12">
        <f t="shared" si="417"/>
        <v>55899.25</v>
      </c>
      <c r="Y650" s="12">
        <f t="shared" si="417"/>
        <v>55899.25</v>
      </c>
      <c r="Z650" s="12">
        <f t="shared" si="417"/>
        <v>55899.25</v>
      </c>
      <c r="AA650" s="12">
        <f t="shared" si="417"/>
        <v>55899.26</v>
      </c>
      <c r="AB650" s="12">
        <f t="shared" si="417"/>
        <v>55899.25</v>
      </c>
      <c r="AC650" s="12">
        <f>SUM(AC647:AC649)</f>
        <v>671041.03</v>
      </c>
      <c r="AD650" s="12">
        <f>SUM(AD647:AD649)</f>
        <v>56149.25</v>
      </c>
      <c r="AE650" s="12">
        <f>SUM(AE647:AE649)</f>
        <v>55899.25</v>
      </c>
      <c r="AF650" s="12">
        <f t="shared" ref="AF650:AO650" si="418">SUM(AF647:AF649)</f>
        <v>55899.25</v>
      </c>
      <c r="AG650" s="12">
        <f t="shared" si="418"/>
        <v>55899.25</v>
      </c>
      <c r="AH650" s="12">
        <f t="shared" si="418"/>
        <v>55899.25</v>
      </c>
      <c r="AI650" s="12">
        <f t="shared" si="418"/>
        <v>55899.25</v>
      </c>
      <c r="AJ650" s="12">
        <f t="shared" si="418"/>
        <v>55899.25</v>
      </c>
      <c r="AK650" s="12">
        <f t="shared" si="418"/>
        <v>55899.25</v>
      </c>
      <c r="AL650" s="12">
        <f t="shared" si="418"/>
        <v>55899.25</v>
      </c>
      <c r="AM650" s="12">
        <f t="shared" si="418"/>
        <v>55899.25</v>
      </c>
      <c r="AN650" s="12">
        <f t="shared" si="418"/>
        <v>55899.25</v>
      </c>
      <c r="AO650" s="57">
        <f t="shared" si="418"/>
        <v>55899.26</v>
      </c>
      <c r="AP650" s="12">
        <f>SUM(AP647:AP649)</f>
        <v>671041.01</v>
      </c>
    </row>
    <row r="651" spans="1:44" x14ac:dyDescent="0.3">
      <c r="C651" s="13"/>
    </row>
    <row r="652" spans="1:44" ht="15.5" x14ac:dyDescent="0.35">
      <c r="A652" s="18">
        <f>+A646+1</f>
        <v>78</v>
      </c>
      <c r="C652" s="22" t="s">
        <v>213</v>
      </c>
    </row>
    <row r="653" spans="1:44" x14ac:dyDescent="0.3">
      <c r="C653" s="6" t="s">
        <v>7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f>SUM(D653:O653)</f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0</v>
      </c>
      <c r="AC653" s="10">
        <f>SUM(Q653:AB653)</f>
        <v>0</v>
      </c>
      <c r="AD653" s="10">
        <v>0</v>
      </c>
      <c r="AE653" s="10">
        <v>0</v>
      </c>
      <c r="AF653" s="10">
        <v>0</v>
      </c>
      <c r="AG653" s="10">
        <v>0</v>
      </c>
      <c r="AH653" s="10">
        <v>0</v>
      </c>
      <c r="AI653" s="10">
        <v>0</v>
      </c>
      <c r="AJ653" s="10">
        <v>0</v>
      </c>
      <c r="AK653" s="10">
        <v>0</v>
      </c>
      <c r="AL653" s="10">
        <v>0</v>
      </c>
      <c r="AM653" s="10">
        <v>0</v>
      </c>
      <c r="AN653" s="10">
        <v>0</v>
      </c>
      <c r="AO653" s="55">
        <v>0</v>
      </c>
      <c r="AP653" s="10">
        <f>SUM(AD653:AO653)</f>
        <v>0</v>
      </c>
    </row>
    <row r="654" spans="1:44" x14ac:dyDescent="0.3">
      <c r="C654" s="6" t="s">
        <v>8</v>
      </c>
      <c r="D654" s="9">
        <v>250</v>
      </c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10">
        <f>SUM(D654:O654)</f>
        <v>250</v>
      </c>
      <c r="Q654" s="9">
        <v>250</v>
      </c>
      <c r="AC654" s="10">
        <f>SUM(Q654:AB654)</f>
        <v>250</v>
      </c>
      <c r="AD654" s="9">
        <v>250</v>
      </c>
      <c r="AE654" s="9"/>
      <c r="AF654" s="9"/>
      <c r="AG654" s="9"/>
      <c r="AH654" s="9"/>
      <c r="AI654" s="9"/>
      <c r="AJ654" s="9"/>
      <c r="AK654" s="9"/>
      <c r="AL654" s="9"/>
      <c r="AM654" s="9"/>
      <c r="AN654" s="23"/>
      <c r="AO654" s="56"/>
      <c r="AP654" s="10">
        <f>SUM(AD654:AO654)</f>
        <v>250</v>
      </c>
    </row>
    <row r="655" spans="1:44" ht="13.5" thickBot="1" x14ac:dyDescent="0.35">
      <c r="C655" s="6" t="s">
        <v>9</v>
      </c>
      <c r="D655" s="10">
        <f>15544.04+19711.67-0.54</f>
        <v>35255.17</v>
      </c>
      <c r="E655" s="10">
        <f>15544.04+19711.67+0.54</f>
        <v>35256.25</v>
      </c>
      <c r="F655" s="10">
        <f t="shared" ref="F655:O655" si="419">15544.04+19711.67</f>
        <v>35255.71</v>
      </c>
      <c r="G655" s="10">
        <f t="shared" si="419"/>
        <v>35255.71</v>
      </c>
      <c r="H655" s="10">
        <f t="shared" si="419"/>
        <v>35255.71</v>
      </c>
      <c r="I655" s="10">
        <f t="shared" si="419"/>
        <v>35255.71</v>
      </c>
      <c r="J655" s="10">
        <f t="shared" si="419"/>
        <v>35255.71</v>
      </c>
      <c r="K655" s="10">
        <f t="shared" si="419"/>
        <v>35255.71</v>
      </c>
      <c r="L655" s="10">
        <f t="shared" si="419"/>
        <v>35255.71</v>
      </c>
      <c r="M655" s="10">
        <f t="shared" si="419"/>
        <v>35255.71</v>
      </c>
      <c r="N655" s="10">
        <f t="shared" si="419"/>
        <v>35255.71</v>
      </c>
      <c r="O655" s="10">
        <f t="shared" si="419"/>
        <v>35255.71</v>
      </c>
      <c r="P655" s="10">
        <f>SUM(D655:O655)</f>
        <v>423068.52000000008</v>
      </c>
      <c r="Q655" s="9">
        <v>35255.71</v>
      </c>
      <c r="R655" s="9">
        <v>35255.71</v>
      </c>
      <c r="S655" s="9">
        <v>35255.71</v>
      </c>
      <c r="T655" s="9">
        <v>35255.71</v>
      </c>
      <c r="U655" s="9">
        <v>35255.71</v>
      </c>
      <c r="V655" s="9">
        <v>35255.71</v>
      </c>
      <c r="W655" s="9">
        <v>35255.71</v>
      </c>
      <c r="X655" s="9">
        <v>35255.71</v>
      </c>
      <c r="Y655" s="9">
        <v>35255.71</v>
      </c>
      <c r="Z655" s="9">
        <v>35255.71</v>
      </c>
      <c r="AA655" s="9">
        <v>35255.71</v>
      </c>
      <c r="AB655" s="9">
        <v>35255.71</v>
      </c>
      <c r="AC655" s="10">
        <f>SUM(Q655:AB655)</f>
        <v>423068.52000000008</v>
      </c>
      <c r="AD655" s="9">
        <v>35255.71</v>
      </c>
      <c r="AE655" s="9">
        <v>35255.71</v>
      </c>
      <c r="AF655" s="9">
        <v>35255.71</v>
      </c>
      <c r="AG655" s="9">
        <v>35255.71</v>
      </c>
      <c r="AH655" s="9">
        <v>35255.71</v>
      </c>
      <c r="AI655" s="9">
        <v>35255.71</v>
      </c>
      <c r="AJ655" s="9">
        <v>35255.71</v>
      </c>
      <c r="AK655" s="9">
        <v>35255.71</v>
      </c>
      <c r="AL655" s="9">
        <v>35255.71</v>
      </c>
      <c r="AM655" s="9">
        <v>35255.71</v>
      </c>
      <c r="AN655" s="23">
        <v>35255.71</v>
      </c>
      <c r="AO655" s="56">
        <v>35255.71</v>
      </c>
      <c r="AP655" s="10">
        <f>SUM(AD655:AO655)</f>
        <v>423068.52000000008</v>
      </c>
      <c r="AR655" s="33"/>
    </row>
    <row r="656" spans="1:44" ht="13.5" thickBot="1" x14ac:dyDescent="0.35">
      <c r="C656" s="11" t="s">
        <v>214</v>
      </c>
      <c r="D656" s="12">
        <f t="shared" ref="D656:O656" si="420">SUM(D653:D655)</f>
        <v>35505.17</v>
      </c>
      <c r="E656" s="12">
        <f t="shared" si="420"/>
        <v>35256.25</v>
      </c>
      <c r="F656" s="12">
        <f t="shared" si="420"/>
        <v>35255.71</v>
      </c>
      <c r="G656" s="12">
        <f t="shared" si="420"/>
        <v>35255.71</v>
      </c>
      <c r="H656" s="12">
        <f t="shared" si="420"/>
        <v>35255.71</v>
      </c>
      <c r="I656" s="12">
        <f t="shared" si="420"/>
        <v>35255.71</v>
      </c>
      <c r="J656" s="12">
        <f t="shared" si="420"/>
        <v>35255.71</v>
      </c>
      <c r="K656" s="12">
        <f t="shared" si="420"/>
        <v>35255.71</v>
      </c>
      <c r="L656" s="12">
        <f t="shared" si="420"/>
        <v>35255.71</v>
      </c>
      <c r="M656" s="12">
        <f t="shared" si="420"/>
        <v>35255.71</v>
      </c>
      <c r="N656" s="12">
        <f t="shared" si="420"/>
        <v>35255.71</v>
      </c>
      <c r="O656" s="12">
        <f t="shared" si="420"/>
        <v>35255.71</v>
      </c>
      <c r="P656" s="12">
        <f>SUM(P653:P655)</f>
        <v>423318.52000000008</v>
      </c>
      <c r="Q656" s="12">
        <f t="shared" ref="Q656:AB656" si="421">SUM(Q653:Q655)</f>
        <v>35505.71</v>
      </c>
      <c r="R656" s="12">
        <f t="shared" si="421"/>
        <v>35255.71</v>
      </c>
      <c r="S656" s="12">
        <f t="shared" si="421"/>
        <v>35255.71</v>
      </c>
      <c r="T656" s="12">
        <f t="shared" si="421"/>
        <v>35255.71</v>
      </c>
      <c r="U656" s="12">
        <f t="shared" si="421"/>
        <v>35255.71</v>
      </c>
      <c r="V656" s="12">
        <f t="shared" si="421"/>
        <v>35255.71</v>
      </c>
      <c r="W656" s="12">
        <f t="shared" si="421"/>
        <v>35255.71</v>
      </c>
      <c r="X656" s="12">
        <f t="shared" si="421"/>
        <v>35255.71</v>
      </c>
      <c r="Y656" s="12">
        <f t="shared" si="421"/>
        <v>35255.71</v>
      </c>
      <c r="Z656" s="12">
        <f t="shared" si="421"/>
        <v>35255.71</v>
      </c>
      <c r="AA656" s="12">
        <f t="shared" si="421"/>
        <v>35255.71</v>
      </c>
      <c r="AB656" s="12">
        <f t="shared" si="421"/>
        <v>35255.71</v>
      </c>
      <c r="AC656" s="12">
        <f>SUM(AC653:AC655)</f>
        <v>423318.52000000008</v>
      </c>
      <c r="AD656" s="12">
        <f>SUM(AD653:AD655)</f>
        <v>35505.71</v>
      </c>
      <c r="AE656" s="12">
        <f>SUM(AE653:AE655)</f>
        <v>35255.71</v>
      </c>
      <c r="AF656" s="12">
        <f t="shared" ref="AF656:AO656" si="422">SUM(AF653:AF655)</f>
        <v>35255.71</v>
      </c>
      <c r="AG656" s="12">
        <f t="shared" si="422"/>
        <v>35255.71</v>
      </c>
      <c r="AH656" s="12">
        <f t="shared" si="422"/>
        <v>35255.71</v>
      </c>
      <c r="AI656" s="12">
        <f t="shared" si="422"/>
        <v>35255.71</v>
      </c>
      <c r="AJ656" s="12">
        <f t="shared" si="422"/>
        <v>35255.71</v>
      </c>
      <c r="AK656" s="12">
        <f t="shared" si="422"/>
        <v>35255.71</v>
      </c>
      <c r="AL656" s="12">
        <f t="shared" si="422"/>
        <v>35255.71</v>
      </c>
      <c r="AM656" s="12">
        <f t="shared" si="422"/>
        <v>35255.71</v>
      </c>
      <c r="AN656" s="12">
        <f t="shared" si="422"/>
        <v>35255.71</v>
      </c>
      <c r="AO656" s="57">
        <f t="shared" si="422"/>
        <v>35255.71</v>
      </c>
      <c r="AP656" s="12">
        <f>SUM(AP653:AP655)</f>
        <v>423318.52000000008</v>
      </c>
    </row>
    <row r="657" spans="1:44" x14ac:dyDescent="0.3">
      <c r="C657" s="13"/>
    </row>
    <row r="658" spans="1:44" ht="15.5" x14ac:dyDescent="0.35">
      <c r="A658" s="18">
        <f>+A652+1</f>
        <v>79</v>
      </c>
      <c r="C658" s="22" t="s">
        <v>215</v>
      </c>
    </row>
    <row r="659" spans="1:44" x14ac:dyDescent="0.3">
      <c r="C659" s="6" t="s">
        <v>7</v>
      </c>
      <c r="D659" s="10">
        <v>803.18</v>
      </c>
      <c r="E659" s="10">
        <v>803.18</v>
      </c>
      <c r="F659" s="10">
        <v>803.18</v>
      </c>
      <c r="G659" s="10">
        <v>803.18</v>
      </c>
      <c r="H659" s="10">
        <v>803.18</v>
      </c>
      <c r="I659" s="10">
        <v>803.18</v>
      </c>
      <c r="J659" s="10">
        <v>803.18</v>
      </c>
      <c r="K659" s="10">
        <v>803.18</v>
      </c>
      <c r="L659" s="10">
        <v>803.18</v>
      </c>
      <c r="M659" s="9">
        <v>721.67</v>
      </c>
      <c r="N659" s="9">
        <v>721.67</v>
      </c>
      <c r="O659" s="9">
        <v>721.67</v>
      </c>
      <c r="P659" s="10">
        <f>SUM(D659:O659)</f>
        <v>9393.630000000001</v>
      </c>
      <c r="Q659" s="9">
        <v>721.67</v>
      </c>
      <c r="R659" s="9">
        <v>721.67</v>
      </c>
      <c r="S659" s="9">
        <v>721.67</v>
      </c>
      <c r="T659" s="9">
        <v>721.67</v>
      </c>
      <c r="U659" s="9">
        <v>721.67</v>
      </c>
      <c r="V659" s="9">
        <v>721.67</v>
      </c>
      <c r="W659" s="9">
        <v>721.67</v>
      </c>
      <c r="X659" s="9">
        <v>721.67</v>
      </c>
      <c r="Y659" s="9">
        <v>721.67</v>
      </c>
      <c r="Z659" s="9">
        <v>710</v>
      </c>
      <c r="AA659" s="9">
        <v>710</v>
      </c>
      <c r="AB659" s="9">
        <v>710</v>
      </c>
      <c r="AC659" s="10">
        <f>SUM(Q659:AB659)</f>
        <v>8625.0299999999988</v>
      </c>
      <c r="AD659" s="9">
        <v>710</v>
      </c>
      <c r="AE659" s="9">
        <v>710</v>
      </c>
      <c r="AF659" s="9">
        <v>710</v>
      </c>
      <c r="AG659" s="9">
        <v>710</v>
      </c>
      <c r="AH659" s="9">
        <v>710</v>
      </c>
      <c r="AI659" s="9">
        <v>710</v>
      </c>
      <c r="AJ659" s="9">
        <v>710</v>
      </c>
      <c r="AK659" s="9">
        <v>710</v>
      </c>
      <c r="AL659" s="9">
        <v>710</v>
      </c>
      <c r="AM659" s="10">
        <v>697.92</v>
      </c>
      <c r="AN659" s="10">
        <v>697.92</v>
      </c>
      <c r="AO659" s="55">
        <v>697.92</v>
      </c>
      <c r="AP659" s="10">
        <f>SUM(AD659:AO659)</f>
        <v>8483.76</v>
      </c>
    </row>
    <row r="660" spans="1:44" x14ac:dyDescent="0.3">
      <c r="C660" s="6" t="s">
        <v>8</v>
      </c>
      <c r="D660" s="9">
        <v>250</v>
      </c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10">
        <f>SUM(D660:O660)</f>
        <v>250</v>
      </c>
      <c r="Q660" s="9">
        <v>250</v>
      </c>
      <c r="AC660" s="10">
        <f>SUM(Q660:AB660)</f>
        <v>250</v>
      </c>
      <c r="AD660" s="9">
        <v>250</v>
      </c>
      <c r="AE660" s="9"/>
      <c r="AF660" s="9"/>
      <c r="AG660" s="9"/>
      <c r="AH660" s="9"/>
      <c r="AI660" s="9"/>
      <c r="AJ660" s="9"/>
      <c r="AK660" s="9"/>
      <c r="AL660" s="9"/>
      <c r="AM660" s="9"/>
      <c r="AN660" s="23"/>
      <c r="AO660" s="56"/>
      <c r="AP660" s="10">
        <f>SUM(AD660:AO660)</f>
        <v>250</v>
      </c>
    </row>
    <row r="661" spans="1:44" ht="13.5" thickBot="1" x14ac:dyDescent="0.35">
      <c r="C661" s="6" t="s">
        <v>9</v>
      </c>
      <c r="D661" s="10">
        <f>17500+30758.71</f>
        <v>48258.71</v>
      </c>
      <c r="E661" s="10">
        <f>17500+30758.7</f>
        <v>48258.7</v>
      </c>
      <c r="F661" s="9">
        <f>17500+26941.93</f>
        <v>44441.93</v>
      </c>
      <c r="G661" s="9">
        <f>17500+26941.93</f>
        <v>44441.93</v>
      </c>
      <c r="H661" s="9">
        <f>17500+26941.93</f>
        <v>44441.93</v>
      </c>
      <c r="I661" s="9">
        <f>17500+26941.93</f>
        <v>44441.93</v>
      </c>
      <c r="J661" s="9">
        <f>17500+26941.93</f>
        <v>44441.93</v>
      </c>
      <c r="K661" s="9">
        <f>17500+26941.95</f>
        <v>44441.95</v>
      </c>
      <c r="L661" s="9">
        <f>11666.67+26585.34</f>
        <v>38252.01</v>
      </c>
      <c r="M661" s="9">
        <f>11666.67+26585.34</f>
        <v>38252.01</v>
      </c>
      <c r="N661" s="9">
        <f>11666.67+26585.34</f>
        <v>38252.01</v>
      </c>
      <c r="O661" s="9">
        <f>11666.67+26585.34</f>
        <v>38252.01</v>
      </c>
      <c r="P661" s="10">
        <f>SUM(D661:O661)</f>
        <v>516177.05000000005</v>
      </c>
      <c r="Q661" s="9">
        <f t="shared" ref="Q661:W661" si="423">11666.67+26585.34</f>
        <v>38252.01</v>
      </c>
      <c r="R661" s="9">
        <f>11666.67+26585.35</f>
        <v>38252.019999999997</v>
      </c>
      <c r="S661" s="9">
        <f t="shared" si="423"/>
        <v>38252.01</v>
      </c>
      <c r="T661" s="9">
        <f t="shared" si="423"/>
        <v>38252.01</v>
      </c>
      <c r="U661" s="9">
        <f t="shared" si="423"/>
        <v>38252.01</v>
      </c>
      <c r="V661" s="9">
        <f t="shared" si="423"/>
        <v>38252.01</v>
      </c>
      <c r="W661" s="9">
        <f t="shared" si="423"/>
        <v>38252.01</v>
      </c>
      <c r="X661" s="9">
        <f>11666.63+26585.35</f>
        <v>38251.979999999996</v>
      </c>
      <c r="Y661" s="9">
        <f>12083.33+26302.56</f>
        <v>38385.89</v>
      </c>
      <c r="Z661" s="9">
        <f>12083.33+26302.56</f>
        <v>38385.89</v>
      </c>
      <c r="AA661" s="9">
        <f>12083.33+26302.56</f>
        <v>38385.89</v>
      </c>
      <c r="AB661" s="9">
        <f>12083.33+26302.56</f>
        <v>38385.89</v>
      </c>
      <c r="AC661" s="10">
        <f>SUM(Q661:AB661)</f>
        <v>459559.62000000005</v>
      </c>
      <c r="AD661" s="9">
        <f t="shared" ref="AD661:AJ661" si="424">12083.33+26302.56</f>
        <v>38385.89</v>
      </c>
      <c r="AE661" s="9">
        <f>12083.33+26302.55</f>
        <v>38385.879999999997</v>
      </c>
      <c r="AF661" s="9">
        <f t="shared" si="424"/>
        <v>38385.89</v>
      </c>
      <c r="AG661" s="9">
        <f t="shared" si="424"/>
        <v>38385.89</v>
      </c>
      <c r="AH661" s="9">
        <f t="shared" si="424"/>
        <v>38385.89</v>
      </c>
      <c r="AI661" s="9">
        <f t="shared" si="424"/>
        <v>38385.89</v>
      </c>
      <c r="AJ661" s="9">
        <f t="shared" si="424"/>
        <v>38385.89</v>
      </c>
      <c r="AK661" s="9">
        <f>12083.37+26302.55</f>
        <v>38385.919999999998</v>
      </c>
      <c r="AL661" s="10">
        <f>12500+26008.34</f>
        <v>38508.339999999997</v>
      </c>
      <c r="AM661" s="10">
        <f>12500+26008.34</f>
        <v>38508.339999999997</v>
      </c>
      <c r="AN661" s="10">
        <f>12500+26008.34</f>
        <v>38508.339999999997</v>
      </c>
      <c r="AO661" s="55">
        <f>12500+26008.34</f>
        <v>38508.339999999997</v>
      </c>
      <c r="AP661" s="10">
        <f>SUM(AD661:AO661)</f>
        <v>461120.49999999988</v>
      </c>
      <c r="AR661" s="33"/>
    </row>
    <row r="662" spans="1:44" ht="13.5" thickBot="1" x14ac:dyDescent="0.35">
      <c r="C662" s="11" t="s">
        <v>216</v>
      </c>
      <c r="D662" s="12">
        <f t="shared" ref="D662:O662" si="425">SUM(D659:D661)</f>
        <v>49311.89</v>
      </c>
      <c r="E662" s="12">
        <f t="shared" si="425"/>
        <v>49061.88</v>
      </c>
      <c r="F662" s="12">
        <f t="shared" si="425"/>
        <v>45245.11</v>
      </c>
      <c r="G662" s="12">
        <f t="shared" si="425"/>
        <v>45245.11</v>
      </c>
      <c r="H662" s="12">
        <f t="shared" si="425"/>
        <v>45245.11</v>
      </c>
      <c r="I662" s="12">
        <f t="shared" si="425"/>
        <v>45245.11</v>
      </c>
      <c r="J662" s="12">
        <f t="shared" si="425"/>
        <v>45245.11</v>
      </c>
      <c r="K662" s="12">
        <f t="shared" si="425"/>
        <v>45245.13</v>
      </c>
      <c r="L662" s="12">
        <f t="shared" si="425"/>
        <v>39055.19</v>
      </c>
      <c r="M662" s="12">
        <f t="shared" si="425"/>
        <v>38973.68</v>
      </c>
      <c r="N662" s="12">
        <f t="shared" si="425"/>
        <v>38973.68</v>
      </c>
      <c r="O662" s="12">
        <f t="shared" si="425"/>
        <v>38973.68</v>
      </c>
      <c r="P662" s="12">
        <f>SUM(P659:P661)</f>
        <v>525820.68000000005</v>
      </c>
      <c r="Q662" s="12">
        <f t="shared" ref="Q662:AB662" si="426">SUM(Q659:Q661)</f>
        <v>39223.68</v>
      </c>
      <c r="R662" s="12">
        <f t="shared" si="426"/>
        <v>38973.689999999995</v>
      </c>
      <c r="S662" s="12">
        <f t="shared" si="426"/>
        <v>38973.68</v>
      </c>
      <c r="T662" s="12">
        <f t="shared" si="426"/>
        <v>38973.68</v>
      </c>
      <c r="U662" s="12">
        <f t="shared" si="426"/>
        <v>38973.68</v>
      </c>
      <c r="V662" s="12">
        <f t="shared" si="426"/>
        <v>38973.68</v>
      </c>
      <c r="W662" s="12">
        <f t="shared" si="426"/>
        <v>38973.68</v>
      </c>
      <c r="X662" s="12">
        <f t="shared" si="426"/>
        <v>38973.649999999994</v>
      </c>
      <c r="Y662" s="12">
        <f t="shared" si="426"/>
        <v>39107.56</v>
      </c>
      <c r="Z662" s="12">
        <f t="shared" si="426"/>
        <v>39095.89</v>
      </c>
      <c r="AA662" s="12">
        <f t="shared" si="426"/>
        <v>39095.89</v>
      </c>
      <c r="AB662" s="12">
        <f t="shared" si="426"/>
        <v>39095.89</v>
      </c>
      <c r="AC662" s="12">
        <f>SUM(AC659:AC661)</f>
        <v>468434.65</v>
      </c>
      <c r="AD662" s="12">
        <f>SUM(AD659:AD661)</f>
        <v>39345.89</v>
      </c>
      <c r="AE662" s="12">
        <f>SUM(AE659:AE661)</f>
        <v>39095.879999999997</v>
      </c>
      <c r="AF662" s="12">
        <f t="shared" ref="AF662:AO662" si="427">SUM(AF659:AF661)</f>
        <v>39095.89</v>
      </c>
      <c r="AG662" s="12">
        <f t="shared" si="427"/>
        <v>39095.89</v>
      </c>
      <c r="AH662" s="12">
        <f t="shared" si="427"/>
        <v>39095.89</v>
      </c>
      <c r="AI662" s="12">
        <f t="shared" si="427"/>
        <v>39095.89</v>
      </c>
      <c r="AJ662" s="12">
        <f t="shared" si="427"/>
        <v>39095.89</v>
      </c>
      <c r="AK662" s="12">
        <f t="shared" si="427"/>
        <v>39095.919999999998</v>
      </c>
      <c r="AL662" s="12">
        <f t="shared" si="427"/>
        <v>39218.339999999997</v>
      </c>
      <c r="AM662" s="12">
        <f t="shared" si="427"/>
        <v>39206.259999999995</v>
      </c>
      <c r="AN662" s="12">
        <f t="shared" si="427"/>
        <v>39206.259999999995</v>
      </c>
      <c r="AO662" s="57">
        <f t="shared" si="427"/>
        <v>39206.259999999995</v>
      </c>
      <c r="AP662" s="12">
        <f>SUM(AP659:AP661)</f>
        <v>469854.25999999989</v>
      </c>
    </row>
    <row r="663" spans="1:44" x14ac:dyDescent="0.3">
      <c r="C663" s="13"/>
    </row>
    <row r="664" spans="1:44" ht="15.5" x14ac:dyDescent="0.35">
      <c r="A664" s="18">
        <f>+A658+1</f>
        <v>80</v>
      </c>
      <c r="C664" s="22" t="s">
        <v>217</v>
      </c>
    </row>
    <row r="665" spans="1:44" x14ac:dyDescent="0.3">
      <c r="C665" s="6" t="s">
        <v>7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f>SUM(D665:O665)</f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f>SUM(Q665:AB665)</f>
        <v>0</v>
      </c>
      <c r="AD665" s="10">
        <v>0</v>
      </c>
      <c r="AE665" s="10">
        <v>0</v>
      </c>
      <c r="AF665" s="10">
        <v>0</v>
      </c>
      <c r="AG665" s="10">
        <v>0</v>
      </c>
      <c r="AH665" s="10">
        <v>0</v>
      </c>
      <c r="AI665" s="10">
        <v>0</v>
      </c>
      <c r="AJ665" s="10">
        <v>0</v>
      </c>
      <c r="AK665" s="10">
        <v>0</v>
      </c>
      <c r="AL665" s="10">
        <v>0</v>
      </c>
      <c r="AM665" s="10">
        <v>0</v>
      </c>
      <c r="AN665" s="10">
        <v>0</v>
      </c>
      <c r="AO665" s="55">
        <v>0</v>
      </c>
      <c r="AP665" s="10">
        <f>SUM(AD665:AO665)</f>
        <v>0</v>
      </c>
    </row>
    <row r="666" spans="1:44" x14ac:dyDescent="0.3">
      <c r="C666" s="6" t="s">
        <v>8</v>
      </c>
      <c r="D666" s="9">
        <v>250</v>
      </c>
      <c r="P666" s="10">
        <f>SUM(D666:O666)</f>
        <v>250</v>
      </c>
      <c r="Q666" s="9">
        <v>250</v>
      </c>
      <c r="AC666" s="10">
        <f>SUM(Q666:AB666)</f>
        <v>250</v>
      </c>
      <c r="AD666" s="9">
        <v>250</v>
      </c>
      <c r="AE666" s="9"/>
      <c r="AF666" s="9"/>
      <c r="AG666" s="9"/>
      <c r="AH666" s="9"/>
      <c r="AI666" s="9"/>
      <c r="AJ666" s="9"/>
      <c r="AK666" s="9"/>
      <c r="AL666" s="9"/>
      <c r="AM666" s="9"/>
      <c r="AN666" s="23"/>
      <c r="AO666" s="56"/>
      <c r="AP666" s="10">
        <f>SUM(AD666:AO666)</f>
        <v>250</v>
      </c>
    </row>
    <row r="667" spans="1:44" ht="13.5" thickBot="1" x14ac:dyDescent="0.35">
      <c r="C667" s="6" t="s">
        <v>9</v>
      </c>
      <c r="D667" s="15">
        <f>13067.56+12148.74-6092.13</f>
        <v>19124.169999999998</v>
      </c>
      <c r="E667" s="9">
        <v>25216.29</v>
      </c>
      <c r="F667" s="9">
        <v>25216.29</v>
      </c>
      <c r="G667" s="9">
        <v>25216.29</v>
      </c>
      <c r="H667" s="9">
        <v>25216.3</v>
      </c>
      <c r="I667" s="9">
        <v>25216.29</v>
      </c>
      <c r="J667" s="9">
        <v>25216.29</v>
      </c>
      <c r="K667" s="9">
        <v>25216.29</v>
      </c>
      <c r="L667" s="9">
        <v>25216.29</v>
      </c>
      <c r="M667" s="9">
        <v>25216.29</v>
      </c>
      <c r="N667" s="9">
        <v>25216.3</v>
      </c>
      <c r="O667" s="9">
        <v>25216.3</v>
      </c>
      <c r="P667" s="10">
        <f>SUM(D667:O667)</f>
        <v>296503.39</v>
      </c>
      <c r="Q667" s="9">
        <v>25216.29</v>
      </c>
      <c r="R667" s="9">
        <v>25216.3</v>
      </c>
      <c r="S667" s="9">
        <v>25216.29</v>
      </c>
      <c r="T667" s="9">
        <v>25216.29</v>
      </c>
      <c r="U667" s="9">
        <v>25216.29</v>
      </c>
      <c r="V667" s="9">
        <v>25216.29</v>
      </c>
      <c r="W667" s="9">
        <v>25216.29</v>
      </c>
      <c r="X667" s="9">
        <v>25216.29</v>
      </c>
      <c r="Y667" s="9">
        <v>25216.3</v>
      </c>
      <c r="Z667" s="9">
        <v>25216.3</v>
      </c>
      <c r="AA667" s="9">
        <v>25216.29</v>
      </c>
      <c r="AB667" s="9">
        <v>25216.29</v>
      </c>
      <c r="AC667" s="10">
        <f>SUM(Q667:AB667)</f>
        <v>302595.51</v>
      </c>
      <c r="AD667" s="9">
        <v>25216.29</v>
      </c>
      <c r="AE667" s="9">
        <v>25216.29</v>
      </c>
      <c r="AF667" s="9">
        <v>25216.29</v>
      </c>
      <c r="AG667" s="9">
        <v>25216.29</v>
      </c>
      <c r="AH667" s="9">
        <v>25216.29</v>
      </c>
      <c r="AI667" s="9">
        <v>25216.29</v>
      </c>
      <c r="AJ667" s="9">
        <v>25216.29</v>
      </c>
      <c r="AK667" s="9">
        <v>25216.29</v>
      </c>
      <c r="AL667" s="9">
        <v>25216.29</v>
      </c>
      <c r="AM667" s="9">
        <v>25216.29</v>
      </c>
      <c r="AN667" s="23">
        <v>25216.29</v>
      </c>
      <c r="AO667" s="56">
        <v>25216.29</v>
      </c>
      <c r="AP667" s="10">
        <f>SUM(AD667:AO667)</f>
        <v>302595.48000000004</v>
      </c>
      <c r="AR667" s="33"/>
    </row>
    <row r="668" spans="1:44" ht="13.5" thickBot="1" x14ac:dyDescent="0.35">
      <c r="C668" s="11" t="s">
        <v>218</v>
      </c>
      <c r="D668" s="12">
        <f>SUM(D665:D667)</f>
        <v>19374.169999999998</v>
      </c>
      <c r="E668" s="12">
        <f t="shared" ref="E668:AB668" si="428">SUM(E665:E667)</f>
        <v>25216.29</v>
      </c>
      <c r="F668" s="12">
        <f t="shared" si="428"/>
        <v>25216.29</v>
      </c>
      <c r="G668" s="12">
        <f t="shared" si="428"/>
        <v>25216.29</v>
      </c>
      <c r="H668" s="12">
        <f t="shared" si="428"/>
        <v>25216.3</v>
      </c>
      <c r="I668" s="12">
        <f t="shared" si="428"/>
        <v>25216.29</v>
      </c>
      <c r="J668" s="12">
        <f t="shared" si="428"/>
        <v>25216.29</v>
      </c>
      <c r="K668" s="12">
        <f t="shared" si="428"/>
        <v>25216.29</v>
      </c>
      <c r="L668" s="12">
        <f t="shared" si="428"/>
        <v>25216.29</v>
      </c>
      <c r="M668" s="12">
        <f t="shared" si="428"/>
        <v>25216.29</v>
      </c>
      <c r="N668" s="12">
        <f t="shared" si="428"/>
        <v>25216.3</v>
      </c>
      <c r="O668" s="12">
        <f t="shared" si="428"/>
        <v>25216.3</v>
      </c>
      <c r="P668" s="12">
        <f t="shared" si="428"/>
        <v>296753.39</v>
      </c>
      <c r="Q668" s="12">
        <f t="shared" si="428"/>
        <v>25466.29</v>
      </c>
      <c r="R668" s="12">
        <f t="shared" si="428"/>
        <v>25216.3</v>
      </c>
      <c r="S668" s="12">
        <f t="shared" si="428"/>
        <v>25216.29</v>
      </c>
      <c r="T668" s="12">
        <f t="shared" si="428"/>
        <v>25216.29</v>
      </c>
      <c r="U668" s="12">
        <f t="shared" si="428"/>
        <v>25216.29</v>
      </c>
      <c r="V668" s="12">
        <f t="shared" si="428"/>
        <v>25216.29</v>
      </c>
      <c r="W668" s="12">
        <f t="shared" si="428"/>
        <v>25216.29</v>
      </c>
      <c r="X668" s="12">
        <f t="shared" si="428"/>
        <v>25216.29</v>
      </c>
      <c r="Y668" s="12">
        <f t="shared" si="428"/>
        <v>25216.3</v>
      </c>
      <c r="Z668" s="12">
        <f t="shared" si="428"/>
        <v>25216.3</v>
      </c>
      <c r="AA668" s="12">
        <f t="shared" si="428"/>
        <v>25216.29</v>
      </c>
      <c r="AB668" s="12">
        <f t="shared" si="428"/>
        <v>25216.29</v>
      </c>
      <c r="AC668" s="12">
        <f>SUM(AC665:AC667)</f>
        <v>302845.51</v>
      </c>
      <c r="AD668" s="12">
        <f>SUM(AD665:AD667)</f>
        <v>25466.29</v>
      </c>
      <c r="AE668" s="12">
        <f>SUM(AE665:AE667)</f>
        <v>25216.29</v>
      </c>
      <c r="AF668" s="12">
        <f t="shared" ref="AF668:AO668" si="429">SUM(AF665:AF667)</f>
        <v>25216.29</v>
      </c>
      <c r="AG668" s="12">
        <f t="shared" si="429"/>
        <v>25216.29</v>
      </c>
      <c r="AH668" s="12">
        <f t="shared" si="429"/>
        <v>25216.29</v>
      </c>
      <c r="AI668" s="12">
        <f t="shared" si="429"/>
        <v>25216.29</v>
      </c>
      <c r="AJ668" s="12">
        <f t="shared" si="429"/>
        <v>25216.29</v>
      </c>
      <c r="AK668" s="12">
        <f t="shared" si="429"/>
        <v>25216.29</v>
      </c>
      <c r="AL668" s="12">
        <f t="shared" si="429"/>
        <v>25216.29</v>
      </c>
      <c r="AM668" s="12">
        <f t="shared" si="429"/>
        <v>25216.29</v>
      </c>
      <c r="AN668" s="12">
        <f t="shared" si="429"/>
        <v>25216.29</v>
      </c>
      <c r="AO668" s="57">
        <f t="shared" si="429"/>
        <v>25216.29</v>
      </c>
      <c r="AP668" s="12">
        <f>SUM(AP665:AP667)</f>
        <v>302845.48000000004</v>
      </c>
    </row>
    <row r="669" spans="1:44" x14ac:dyDescent="0.3">
      <c r="C669" s="13"/>
    </row>
    <row r="670" spans="1:44" ht="15.5" x14ac:dyDescent="0.35">
      <c r="A670" s="18">
        <f>+A664+1</f>
        <v>81</v>
      </c>
      <c r="C670" s="22" t="s">
        <v>219</v>
      </c>
    </row>
    <row r="671" spans="1:44" x14ac:dyDescent="0.3">
      <c r="C671" s="6" t="s">
        <v>7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f>SUM(D671:O671)</f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f>SUM(Q671:AB671)</f>
        <v>0</v>
      </c>
      <c r="AD671" s="10">
        <v>0</v>
      </c>
      <c r="AE671" s="10">
        <v>0</v>
      </c>
      <c r="AF671" s="10">
        <v>0</v>
      </c>
      <c r="AG671" s="10">
        <v>0</v>
      </c>
      <c r="AH671" s="10">
        <v>0</v>
      </c>
      <c r="AI671" s="10">
        <v>0</v>
      </c>
      <c r="AJ671" s="10">
        <v>0</v>
      </c>
      <c r="AK671" s="10">
        <v>0</v>
      </c>
      <c r="AL671" s="10">
        <v>0</v>
      </c>
      <c r="AM671" s="10">
        <v>0</v>
      </c>
      <c r="AN671" s="10">
        <v>0</v>
      </c>
      <c r="AO671" s="55">
        <v>0</v>
      </c>
      <c r="AP671" s="10">
        <f>SUM(AD671:AO671)</f>
        <v>0</v>
      </c>
    </row>
    <row r="672" spans="1:44" x14ac:dyDescent="0.3">
      <c r="C672" s="6" t="s">
        <v>8</v>
      </c>
      <c r="D672" s="9">
        <v>250</v>
      </c>
      <c r="P672" s="10">
        <f>SUM(D672:O672)</f>
        <v>250</v>
      </c>
      <c r="Q672" s="9">
        <v>250</v>
      </c>
      <c r="AC672" s="10">
        <f>SUM(Q672:AB672)</f>
        <v>250</v>
      </c>
      <c r="AD672" s="9">
        <v>250</v>
      </c>
      <c r="AE672" s="9"/>
      <c r="AF672" s="9"/>
      <c r="AG672" s="9"/>
      <c r="AH672" s="9"/>
      <c r="AI672" s="9"/>
      <c r="AJ672" s="9"/>
      <c r="AK672" s="9"/>
      <c r="AL672" s="9"/>
      <c r="AM672" s="9"/>
      <c r="AN672" s="23"/>
      <c r="AO672" s="56"/>
      <c r="AP672" s="10">
        <f>SUM(AD672:AO672)</f>
        <v>250</v>
      </c>
    </row>
    <row r="673" spans="1:44" ht="13.5" thickBot="1" x14ac:dyDescent="0.35">
      <c r="C673" s="6" t="s">
        <v>9</v>
      </c>
      <c r="D673" s="10">
        <v>87308</v>
      </c>
      <c r="E673" s="10">
        <v>87308</v>
      </c>
      <c r="F673" s="10">
        <v>87308</v>
      </c>
      <c r="G673" s="10">
        <v>87308</v>
      </c>
      <c r="H673" s="9">
        <v>83950</v>
      </c>
      <c r="I673" s="9">
        <v>83950</v>
      </c>
      <c r="J673" s="9">
        <v>83950</v>
      </c>
      <c r="K673" s="9">
        <v>83950</v>
      </c>
      <c r="L673" s="9">
        <v>83950</v>
      </c>
      <c r="M673" s="9">
        <v>83950</v>
      </c>
      <c r="N673" s="9">
        <v>83950</v>
      </c>
      <c r="O673" s="9">
        <v>83950</v>
      </c>
      <c r="P673" s="10">
        <f>SUM(D673:O673)</f>
        <v>1020832</v>
      </c>
      <c r="Q673" s="9">
        <v>83950</v>
      </c>
      <c r="R673" s="9">
        <v>83950</v>
      </c>
      <c r="S673" s="9">
        <v>83950</v>
      </c>
      <c r="T673" s="9">
        <v>83950</v>
      </c>
      <c r="U673" s="9">
        <v>83950</v>
      </c>
      <c r="V673" s="9">
        <v>83950</v>
      </c>
      <c r="W673" s="9">
        <v>83950</v>
      </c>
      <c r="X673" s="9">
        <v>83950</v>
      </c>
      <c r="Y673" s="9">
        <v>83950</v>
      </c>
      <c r="Z673" s="9">
        <v>83950</v>
      </c>
      <c r="AA673" s="9">
        <f>24583.33+83950</f>
        <v>108533.33</v>
      </c>
      <c r="AB673" s="9">
        <f>24583.33+83950</f>
        <v>108533.33</v>
      </c>
      <c r="AC673" s="10">
        <f>SUM(Q673:AB673)</f>
        <v>1056566.6599999999</v>
      </c>
      <c r="AD673" s="9">
        <f t="shared" ref="AD673:AM673" si="430">24583.33+83950</f>
        <v>108533.33</v>
      </c>
      <c r="AE673" s="9">
        <f t="shared" si="430"/>
        <v>108533.33</v>
      </c>
      <c r="AF673" s="9">
        <f t="shared" si="430"/>
        <v>108533.33</v>
      </c>
      <c r="AG673" s="9">
        <f t="shared" si="430"/>
        <v>108533.33</v>
      </c>
      <c r="AH673" s="9">
        <f t="shared" si="430"/>
        <v>108533.33</v>
      </c>
      <c r="AI673" s="9">
        <f t="shared" si="430"/>
        <v>108533.33</v>
      </c>
      <c r="AJ673" s="9">
        <f t="shared" si="430"/>
        <v>108533.33</v>
      </c>
      <c r="AK673" s="9">
        <f t="shared" si="430"/>
        <v>108533.33</v>
      </c>
      <c r="AL673" s="9">
        <f t="shared" si="430"/>
        <v>108533.33</v>
      </c>
      <c r="AM673" s="9">
        <f t="shared" si="430"/>
        <v>108533.33</v>
      </c>
      <c r="AN673" s="10">
        <f>25416.67+82966.67</f>
        <v>108383.34</v>
      </c>
      <c r="AO673" s="55">
        <f>25416.67+82966.67</f>
        <v>108383.34</v>
      </c>
      <c r="AP673" s="10">
        <f>SUM(AD673:AO673)</f>
        <v>1302099.98</v>
      </c>
      <c r="AR673" s="33"/>
    </row>
    <row r="674" spans="1:44" ht="13.5" thickBot="1" x14ac:dyDescent="0.35">
      <c r="C674" s="11" t="s">
        <v>220</v>
      </c>
      <c r="D674" s="12">
        <f t="shared" ref="D674:AB674" si="431">SUM(D671:D673)</f>
        <v>87558</v>
      </c>
      <c r="E674" s="12">
        <f t="shared" si="431"/>
        <v>87308</v>
      </c>
      <c r="F674" s="12">
        <f t="shared" si="431"/>
        <v>87308</v>
      </c>
      <c r="G674" s="12">
        <f t="shared" si="431"/>
        <v>87308</v>
      </c>
      <c r="H674" s="12">
        <f t="shared" si="431"/>
        <v>83950</v>
      </c>
      <c r="I674" s="12">
        <f t="shared" si="431"/>
        <v>83950</v>
      </c>
      <c r="J674" s="12">
        <f t="shared" si="431"/>
        <v>83950</v>
      </c>
      <c r="K674" s="12">
        <f t="shared" si="431"/>
        <v>83950</v>
      </c>
      <c r="L674" s="12">
        <f t="shared" si="431"/>
        <v>83950</v>
      </c>
      <c r="M674" s="12">
        <f t="shared" si="431"/>
        <v>83950</v>
      </c>
      <c r="N674" s="12">
        <f t="shared" si="431"/>
        <v>83950</v>
      </c>
      <c r="O674" s="12">
        <f t="shared" si="431"/>
        <v>83950</v>
      </c>
      <c r="P674" s="12">
        <f t="shared" si="431"/>
        <v>1021082</v>
      </c>
      <c r="Q674" s="12">
        <f t="shared" si="431"/>
        <v>84200</v>
      </c>
      <c r="R674" s="12">
        <f t="shared" si="431"/>
        <v>83950</v>
      </c>
      <c r="S674" s="12">
        <f t="shared" si="431"/>
        <v>83950</v>
      </c>
      <c r="T674" s="12">
        <f t="shared" si="431"/>
        <v>83950</v>
      </c>
      <c r="U674" s="12">
        <f t="shared" si="431"/>
        <v>83950</v>
      </c>
      <c r="V674" s="12">
        <f t="shared" si="431"/>
        <v>83950</v>
      </c>
      <c r="W674" s="12">
        <f t="shared" si="431"/>
        <v>83950</v>
      </c>
      <c r="X674" s="12">
        <f t="shared" si="431"/>
        <v>83950</v>
      </c>
      <c r="Y674" s="12">
        <f t="shared" si="431"/>
        <v>83950</v>
      </c>
      <c r="Z674" s="12">
        <f t="shared" si="431"/>
        <v>83950</v>
      </c>
      <c r="AA674" s="12">
        <f t="shared" si="431"/>
        <v>108533.33</v>
      </c>
      <c r="AB674" s="12">
        <f t="shared" si="431"/>
        <v>108533.33</v>
      </c>
      <c r="AC674" s="12">
        <f>SUM(AC671:AC673)</f>
        <v>1056816.6599999999</v>
      </c>
      <c r="AD674" s="12">
        <f>SUM(AD671:AD673)</f>
        <v>108783.33</v>
      </c>
      <c r="AE674" s="12">
        <f>SUM(AE671:AE673)</f>
        <v>108533.33</v>
      </c>
      <c r="AF674" s="12">
        <f t="shared" ref="AF674:AO674" si="432">SUM(AF671:AF673)</f>
        <v>108533.33</v>
      </c>
      <c r="AG674" s="12">
        <f t="shared" si="432"/>
        <v>108533.33</v>
      </c>
      <c r="AH674" s="12">
        <f t="shared" si="432"/>
        <v>108533.33</v>
      </c>
      <c r="AI674" s="12">
        <f t="shared" si="432"/>
        <v>108533.33</v>
      </c>
      <c r="AJ674" s="12">
        <f t="shared" si="432"/>
        <v>108533.33</v>
      </c>
      <c r="AK674" s="12">
        <f t="shared" si="432"/>
        <v>108533.33</v>
      </c>
      <c r="AL674" s="12">
        <f t="shared" si="432"/>
        <v>108533.33</v>
      </c>
      <c r="AM674" s="12">
        <f t="shared" si="432"/>
        <v>108533.33</v>
      </c>
      <c r="AN674" s="12">
        <f t="shared" si="432"/>
        <v>108383.34</v>
      </c>
      <c r="AO674" s="57">
        <f t="shared" si="432"/>
        <v>108383.34</v>
      </c>
      <c r="AP674" s="12">
        <f>SUM(AP671:AP673)</f>
        <v>1302349.98</v>
      </c>
    </row>
    <row r="675" spans="1:44" x14ac:dyDescent="0.3">
      <c r="C675" s="13"/>
    </row>
    <row r="676" spans="1:44" ht="15.5" x14ac:dyDescent="0.35">
      <c r="A676" s="18">
        <f>+A670+1</f>
        <v>82</v>
      </c>
      <c r="C676" s="22" t="s">
        <v>221</v>
      </c>
    </row>
    <row r="677" spans="1:44" x14ac:dyDescent="0.3">
      <c r="C677" s="6" t="s">
        <v>7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f>SUM(D677:O677)</f>
        <v>0</v>
      </c>
      <c r="Q677" s="10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  <c r="AC677" s="10">
        <f>SUM(Q677:AB677)</f>
        <v>0</v>
      </c>
      <c r="AD677" s="10">
        <v>0</v>
      </c>
      <c r="AE677" s="10">
        <v>0</v>
      </c>
      <c r="AF677" s="10">
        <v>0</v>
      </c>
      <c r="AG677" s="10">
        <v>0</v>
      </c>
      <c r="AH677" s="10">
        <v>0</v>
      </c>
      <c r="AI677" s="10">
        <v>0</v>
      </c>
      <c r="AJ677" s="10">
        <v>0</v>
      </c>
      <c r="AK677" s="10">
        <v>0</v>
      </c>
      <c r="AL677" s="10">
        <v>0</v>
      </c>
      <c r="AM677" s="10">
        <v>0</v>
      </c>
      <c r="AN677" s="10">
        <v>0</v>
      </c>
      <c r="AO677" s="55">
        <v>0</v>
      </c>
      <c r="AP677" s="10">
        <f>SUM(AD677:AO677)</f>
        <v>0</v>
      </c>
    </row>
    <row r="678" spans="1:44" x14ac:dyDescent="0.3">
      <c r="C678" s="6" t="s">
        <v>8</v>
      </c>
      <c r="D678" s="9">
        <v>250</v>
      </c>
      <c r="P678" s="10">
        <f>SUM(D678:O678)</f>
        <v>250</v>
      </c>
      <c r="Q678" s="9">
        <v>250</v>
      </c>
      <c r="AC678" s="10">
        <f>SUM(Q678:AB678)</f>
        <v>250</v>
      </c>
      <c r="AD678" s="9">
        <v>250</v>
      </c>
      <c r="AE678" s="9"/>
      <c r="AF678" s="9"/>
      <c r="AG678" s="9"/>
      <c r="AH678" s="9"/>
      <c r="AI678" s="9"/>
      <c r="AJ678" s="9"/>
      <c r="AK678" s="9"/>
      <c r="AL678" s="9"/>
      <c r="AM678" s="9"/>
      <c r="AN678" s="23"/>
      <c r="AO678" s="56"/>
      <c r="AP678" s="10">
        <f>SUM(AD678:AO678)</f>
        <v>250</v>
      </c>
    </row>
    <row r="679" spans="1:44" ht="13.5" thickBot="1" x14ac:dyDescent="0.35">
      <c r="C679" s="6" t="s">
        <v>9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f>9583.34+52614.59</f>
        <v>62197.929999999993</v>
      </c>
      <c r="L679" s="10">
        <f>9583.34+52614.59</f>
        <v>62197.929999999993</v>
      </c>
      <c r="M679" s="10">
        <f>9583.34+52614.59</f>
        <v>62197.929999999993</v>
      </c>
      <c r="N679" s="10">
        <f>9583.34+52614.59</f>
        <v>62197.929999999993</v>
      </c>
      <c r="O679" s="10">
        <f>9583.34+52614.59</f>
        <v>62197.929999999993</v>
      </c>
      <c r="P679" s="10">
        <f>SUM(D679:O679)</f>
        <v>310989.64999999997</v>
      </c>
      <c r="Q679" s="10">
        <f t="shared" ref="Q679:W679" si="433">9583.34+52614.59</f>
        <v>62197.929999999993</v>
      </c>
      <c r="R679" s="10">
        <f t="shared" si="433"/>
        <v>62197.929999999993</v>
      </c>
      <c r="S679" s="10">
        <f t="shared" si="433"/>
        <v>62197.929999999993</v>
      </c>
      <c r="T679" s="10">
        <f t="shared" si="433"/>
        <v>62197.929999999993</v>
      </c>
      <c r="U679" s="10">
        <f t="shared" si="433"/>
        <v>62197.929999999993</v>
      </c>
      <c r="V679" s="10">
        <f t="shared" si="433"/>
        <v>62197.929999999993</v>
      </c>
      <c r="W679" s="10">
        <f t="shared" si="433"/>
        <v>62197.929999999993</v>
      </c>
      <c r="X679" s="10">
        <f>10000+52183.34</f>
        <v>62183.34</v>
      </c>
      <c r="Y679" s="10">
        <f>10000+52183.34</f>
        <v>62183.34</v>
      </c>
      <c r="Z679" s="10">
        <f>10000+52183.34</f>
        <v>62183.34</v>
      </c>
      <c r="AA679" s="10">
        <f>10000+52183.34</f>
        <v>62183.34</v>
      </c>
      <c r="AB679" s="10">
        <f>10000+52183.34</f>
        <v>62183.34</v>
      </c>
      <c r="AC679" s="10">
        <f>SUM(Q679:AB679)</f>
        <v>746302.20999999985</v>
      </c>
      <c r="AD679" s="10">
        <f t="shared" ref="AD679:AJ679" si="434">10000+52183.34</f>
        <v>62183.34</v>
      </c>
      <c r="AE679" s="10">
        <f t="shared" si="434"/>
        <v>62183.34</v>
      </c>
      <c r="AF679" s="10">
        <f t="shared" si="434"/>
        <v>62183.34</v>
      </c>
      <c r="AG679" s="10">
        <f t="shared" si="434"/>
        <v>62183.34</v>
      </c>
      <c r="AH679" s="10">
        <f t="shared" si="434"/>
        <v>62183.34</v>
      </c>
      <c r="AI679" s="10">
        <f t="shared" si="434"/>
        <v>62183.34</v>
      </c>
      <c r="AJ679" s="10">
        <f t="shared" si="434"/>
        <v>62183.34</v>
      </c>
      <c r="AK679" s="10">
        <f>10416.67+51733.34</f>
        <v>62150.009999999995</v>
      </c>
      <c r="AL679" s="10">
        <f>10416.67+51733.34</f>
        <v>62150.009999999995</v>
      </c>
      <c r="AM679" s="10">
        <f>10416.67+51733.34</f>
        <v>62150.009999999995</v>
      </c>
      <c r="AN679" s="10">
        <f>10416.67+51733.34</f>
        <v>62150.009999999995</v>
      </c>
      <c r="AO679" s="55">
        <f>10416.67+51733.34</f>
        <v>62150.009999999995</v>
      </c>
      <c r="AP679" s="10">
        <f>SUM(AD679:AO679)</f>
        <v>746033.42999999993</v>
      </c>
      <c r="AR679" s="33"/>
    </row>
    <row r="680" spans="1:44" ht="13.5" thickBot="1" x14ac:dyDescent="0.35">
      <c r="C680" s="11" t="s">
        <v>222</v>
      </c>
      <c r="D680" s="12">
        <f t="shared" ref="D680:AB680" si="435">SUM(D677:D679)</f>
        <v>250</v>
      </c>
      <c r="E680" s="12">
        <f t="shared" si="435"/>
        <v>0</v>
      </c>
      <c r="F680" s="12">
        <f t="shared" si="435"/>
        <v>0</v>
      </c>
      <c r="G680" s="12">
        <f t="shared" si="435"/>
        <v>0</v>
      </c>
      <c r="H680" s="12">
        <f t="shared" si="435"/>
        <v>0</v>
      </c>
      <c r="I680" s="12">
        <f t="shared" si="435"/>
        <v>0</v>
      </c>
      <c r="J680" s="12">
        <f t="shared" si="435"/>
        <v>0</v>
      </c>
      <c r="K680" s="12">
        <f t="shared" si="435"/>
        <v>62197.929999999993</v>
      </c>
      <c r="L680" s="12">
        <f t="shared" si="435"/>
        <v>62197.929999999993</v>
      </c>
      <c r="M680" s="12">
        <f t="shared" si="435"/>
        <v>62197.929999999993</v>
      </c>
      <c r="N680" s="12">
        <f t="shared" si="435"/>
        <v>62197.929999999993</v>
      </c>
      <c r="O680" s="12">
        <f t="shared" si="435"/>
        <v>62197.929999999993</v>
      </c>
      <c r="P680" s="12">
        <f t="shared" si="435"/>
        <v>311239.64999999997</v>
      </c>
      <c r="Q680" s="12">
        <f t="shared" si="435"/>
        <v>62447.929999999993</v>
      </c>
      <c r="R680" s="12">
        <f t="shared" si="435"/>
        <v>62197.929999999993</v>
      </c>
      <c r="S680" s="12">
        <f t="shared" si="435"/>
        <v>62197.929999999993</v>
      </c>
      <c r="T680" s="12">
        <f t="shared" si="435"/>
        <v>62197.929999999993</v>
      </c>
      <c r="U680" s="12">
        <f t="shared" si="435"/>
        <v>62197.929999999993</v>
      </c>
      <c r="V680" s="12">
        <f t="shared" si="435"/>
        <v>62197.929999999993</v>
      </c>
      <c r="W680" s="12">
        <f t="shared" si="435"/>
        <v>62197.929999999993</v>
      </c>
      <c r="X680" s="12">
        <f t="shared" si="435"/>
        <v>62183.34</v>
      </c>
      <c r="Y680" s="12">
        <f t="shared" si="435"/>
        <v>62183.34</v>
      </c>
      <c r="Z680" s="12">
        <f t="shared" si="435"/>
        <v>62183.34</v>
      </c>
      <c r="AA680" s="12">
        <f t="shared" si="435"/>
        <v>62183.34</v>
      </c>
      <c r="AB680" s="12">
        <f t="shared" si="435"/>
        <v>62183.34</v>
      </c>
      <c r="AC680" s="12">
        <f>SUM(AC677:AC679)</f>
        <v>746552.20999999985</v>
      </c>
      <c r="AD680" s="12">
        <f>SUM(AD677:AD679)</f>
        <v>62433.34</v>
      </c>
      <c r="AE680" s="12">
        <f>SUM(AE677:AE679)</f>
        <v>62183.34</v>
      </c>
      <c r="AF680" s="12">
        <f t="shared" ref="AF680:AO680" si="436">SUM(AF677:AF679)</f>
        <v>62183.34</v>
      </c>
      <c r="AG680" s="12">
        <f t="shared" si="436"/>
        <v>62183.34</v>
      </c>
      <c r="AH680" s="12">
        <f t="shared" si="436"/>
        <v>62183.34</v>
      </c>
      <c r="AI680" s="12">
        <f t="shared" si="436"/>
        <v>62183.34</v>
      </c>
      <c r="AJ680" s="12">
        <f t="shared" si="436"/>
        <v>62183.34</v>
      </c>
      <c r="AK680" s="12">
        <f t="shared" si="436"/>
        <v>62150.009999999995</v>
      </c>
      <c r="AL680" s="12">
        <f t="shared" si="436"/>
        <v>62150.009999999995</v>
      </c>
      <c r="AM680" s="12">
        <f t="shared" si="436"/>
        <v>62150.009999999995</v>
      </c>
      <c r="AN680" s="12">
        <f t="shared" si="436"/>
        <v>62150.009999999995</v>
      </c>
      <c r="AO680" s="57">
        <f t="shared" si="436"/>
        <v>62150.009999999995</v>
      </c>
      <c r="AP680" s="12">
        <f>SUM(AP677:AP679)</f>
        <v>746283.42999999993</v>
      </c>
    </row>
    <row r="681" spans="1:44" x14ac:dyDescent="0.3">
      <c r="C681" s="13"/>
    </row>
    <row r="682" spans="1:44" ht="15.5" x14ac:dyDescent="0.35">
      <c r="A682" s="18">
        <f>+A676+1</f>
        <v>83</v>
      </c>
      <c r="C682" s="22" t="s">
        <v>223</v>
      </c>
    </row>
    <row r="683" spans="1:44" x14ac:dyDescent="0.3">
      <c r="C683" s="6" t="s">
        <v>7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f>SUM(D683:O683)</f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  <c r="AC683" s="10">
        <f>SUM(Q683:AB683)</f>
        <v>0</v>
      </c>
      <c r="AD683" s="10">
        <v>0</v>
      </c>
      <c r="AE683" s="10">
        <v>0</v>
      </c>
      <c r="AF683" s="10">
        <v>0</v>
      </c>
      <c r="AG683" s="10">
        <v>0</v>
      </c>
      <c r="AH683" s="10">
        <v>0</v>
      </c>
      <c r="AI683" s="10">
        <v>0</v>
      </c>
      <c r="AJ683" s="10">
        <v>0</v>
      </c>
      <c r="AK683" s="10">
        <v>0</v>
      </c>
      <c r="AL683" s="10">
        <v>0</v>
      </c>
      <c r="AM683" s="10">
        <v>0</v>
      </c>
      <c r="AN683" s="10">
        <v>0</v>
      </c>
      <c r="AO683" s="55">
        <v>0</v>
      </c>
      <c r="AP683" s="10">
        <f>SUM(AD683:AO683)</f>
        <v>0</v>
      </c>
    </row>
    <row r="684" spans="1:44" x14ac:dyDescent="0.3">
      <c r="C684" s="6" t="s">
        <v>8</v>
      </c>
      <c r="D684" s="9">
        <v>250</v>
      </c>
      <c r="P684" s="10">
        <f>SUM(D684:O684)</f>
        <v>250</v>
      </c>
      <c r="Q684" s="9">
        <v>250</v>
      </c>
      <c r="AC684" s="10">
        <f>SUM(Q684:AB684)</f>
        <v>250</v>
      </c>
      <c r="AD684" s="9">
        <v>250</v>
      </c>
      <c r="AE684" s="9"/>
      <c r="AF684" s="9"/>
      <c r="AG684" s="9"/>
      <c r="AH684" s="9"/>
      <c r="AI684" s="9"/>
      <c r="AJ684" s="9"/>
      <c r="AK684" s="9"/>
      <c r="AL684" s="9"/>
      <c r="AM684" s="9"/>
      <c r="AN684" s="23"/>
      <c r="AO684" s="56"/>
      <c r="AP684" s="10">
        <f>SUM(AD684:AO684)</f>
        <v>250</v>
      </c>
    </row>
    <row r="685" spans="1:44" ht="13.5" thickBot="1" x14ac:dyDescent="0.35">
      <c r="C685" s="6" t="s">
        <v>9</v>
      </c>
      <c r="D685" s="10">
        <v>184641.13</v>
      </c>
      <c r="E685" s="10">
        <v>184641.13</v>
      </c>
      <c r="F685" s="10">
        <v>184641.13</v>
      </c>
      <c r="G685" s="10">
        <v>184641.13</v>
      </c>
      <c r="H685" s="10">
        <v>101677.11</v>
      </c>
      <c r="I685" s="10">
        <v>101677.11</v>
      </c>
      <c r="J685" s="10">
        <v>101677.11</v>
      </c>
      <c r="K685" s="10">
        <v>101677.11</v>
      </c>
      <c r="L685" s="10">
        <v>101677.11</v>
      </c>
      <c r="M685" s="10">
        <v>101677.11</v>
      </c>
      <c r="N685" s="10">
        <v>101677.11</v>
      </c>
      <c r="O685" s="10">
        <v>101677.11</v>
      </c>
      <c r="P685" s="10">
        <f>SUM(D685:O685)</f>
        <v>1551981.4000000004</v>
      </c>
      <c r="Q685" s="10">
        <v>101677.11</v>
      </c>
      <c r="R685" s="10">
        <v>101677.11</v>
      </c>
      <c r="S685" s="10">
        <v>101677.11</v>
      </c>
      <c r="T685" s="10">
        <v>101677.11</v>
      </c>
      <c r="U685" s="10">
        <v>101677.11</v>
      </c>
      <c r="V685" s="10">
        <v>101677.11</v>
      </c>
      <c r="W685" s="10">
        <v>101677.11</v>
      </c>
      <c r="X685" s="10">
        <v>101677.11</v>
      </c>
      <c r="Y685" s="10">
        <v>101677.11</v>
      </c>
      <c r="Z685" s="10">
        <v>101677.11</v>
      </c>
      <c r="AA685" s="10">
        <v>101677.11</v>
      </c>
      <c r="AB685" s="10">
        <v>101677.11</v>
      </c>
      <c r="AC685" s="10">
        <f>SUM(Q685:AB685)</f>
        <v>1220125.32</v>
      </c>
      <c r="AD685" s="10">
        <v>101677.11</v>
      </c>
      <c r="AE685" s="10">
        <v>101677.11</v>
      </c>
      <c r="AF685" s="10">
        <v>101677.11</v>
      </c>
      <c r="AG685" s="10">
        <v>101677.11</v>
      </c>
      <c r="AH685" s="10">
        <v>101677.11</v>
      </c>
      <c r="AI685" s="10">
        <v>101677.11</v>
      </c>
      <c r="AJ685" s="10">
        <v>101677.11</v>
      </c>
      <c r="AK685" s="10">
        <v>101677.11</v>
      </c>
      <c r="AL685" s="10">
        <v>101677.11</v>
      </c>
      <c r="AM685" s="10">
        <v>101677.11</v>
      </c>
      <c r="AN685" s="10">
        <v>101677.11</v>
      </c>
      <c r="AO685" s="55">
        <v>101677.11</v>
      </c>
      <c r="AP685" s="10">
        <f>SUM(AD685:AO685)</f>
        <v>1220125.32</v>
      </c>
      <c r="AR685" s="33"/>
    </row>
    <row r="686" spans="1:44" ht="13.5" thickBot="1" x14ac:dyDescent="0.35">
      <c r="C686" s="11" t="s">
        <v>224</v>
      </c>
      <c r="D686" s="12">
        <f t="shared" ref="D686:AB686" si="437">SUM(D683:D685)</f>
        <v>184891.13</v>
      </c>
      <c r="E686" s="12">
        <f t="shared" si="437"/>
        <v>184641.13</v>
      </c>
      <c r="F686" s="12">
        <f t="shared" si="437"/>
        <v>184641.13</v>
      </c>
      <c r="G686" s="12">
        <f t="shared" si="437"/>
        <v>184641.13</v>
      </c>
      <c r="H686" s="12">
        <f t="shared" si="437"/>
        <v>101677.11</v>
      </c>
      <c r="I686" s="12">
        <f t="shared" si="437"/>
        <v>101677.11</v>
      </c>
      <c r="J686" s="12">
        <f t="shared" si="437"/>
        <v>101677.11</v>
      </c>
      <c r="K686" s="12">
        <f t="shared" si="437"/>
        <v>101677.11</v>
      </c>
      <c r="L686" s="12">
        <f t="shared" si="437"/>
        <v>101677.11</v>
      </c>
      <c r="M686" s="12">
        <f t="shared" si="437"/>
        <v>101677.11</v>
      </c>
      <c r="N686" s="12">
        <f t="shared" si="437"/>
        <v>101677.11</v>
      </c>
      <c r="O686" s="12">
        <f t="shared" si="437"/>
        <v>101677.11</v>
      </c>
      <c r="P686" s="12">
        <f t="shared" si="437"/>
        <v>1552231.4000000004</v>
      </c>
      <c r="Q686" s="12">
        <f t="shared" si="437"/>
        <v>101927.11</v>
      </c>
      <c r="R686" s="12">
        <f t="shared" si="437"/>
        <v>101677.11</v>
      </c>
      <c r="S686" s="12">
        <f t="shared" si="437"/>
        <v>101677.11</v>
      </c>
      <c r="T686" s="12">
        <f t="shared" si="437"/>
        <v>101677.11</v>
      </c>
      <c r="U686" s="12">
        <f t="shared" si="437"/>
        <v>101677.11</v>
      </c>
      <c r="V686" s="12">
        <f t="shared" si="437"/>
        <v>101677.11</v>
      </c>
      <c r="W686" s="12">
        <f t="shared" si="437"/>
        <v>101677.11</v>
      </c>
      <c r="X686" s="12">
        <f t="shared" si="437"/>
        <v>101677.11</v>
      </c>
      <c r="Y686" s="12">
        <f t="shared" si="437"/>
        <v>101677.11</v>
      </c>
      <c r="Z686" s="12">
        <f t="shared" si="437"/>
        <v>101677.11</v>
      </c>
      <c r="AA686" s="12">
        <f t="shared" si="437"/>
        <v>101677.11</v>
      </c>
      <c r="AB686" s="12">
        <f t="shared" si="437"/>
        <v>101677.11</v>
      </c>
      <c r="AC686" s="12">
        <f>SUM(AC683:AC685)</f>
        <v>1220375.32</v>
      </c>
      <c r="AD686" s="12">
        <f>SUM(AD683:AD685)</f>
        <v>101927.11</v>
      </c>
      <c r="AE686" s="12">
        <f>SUM(AE683:AE685)</f>
        <v>101677.11</v>
      </c>
      <c r="AF686" s="12">
        <f t="shared" ref="AF686:AO686" si="438">SUM(AF683:AF685)</f>
        <v>101677.11</v>
      </c>
      <c r="AG686" s="12">
        <f t="shared" si="438"/>
        <v>101677.11</v>
      </c>
      <c r="AH686" s="12">
        <f t="shared" si="438"/>
        <v>101677.11</v>
      </c>
      <c r="AI686" s="12">
        <f t="shared" si="438"/>
        <v>101677.11</v>
      </c>
      <c r="AJ686" s="12">
        <f t="shared" si="438"/>
        <v>101677.11</v>
      </c>
      <c r="AK686" s="12">
        <f t="shared" si="438"/>
        <v>101677.11</v>
      </c>
      <c r="AL686" s="12">
        <f t="shared" si="438"/>
        <v>101677.11</v>
      </c>
      <c r="AM686" s="12">
        <f t="shared" si="438"/>
        <v>101677.11</v>
      </c>
      <c r="AN686" s="12">
        <f t="shared" si="438"/>
        <v>101677.11</v>
      </c>
      <c r="AO686" s="57">
        <f t="shared" si="438"/>
        <v>101677.11</v>
      </c>
      <c r="AP686" s="12">
        <f>SUM(AP683:AP685)</f>
        <v>1220375.32</v>
      </c>
    </row>
    <row r="687" spans="1:44" x14ac:dyDescent="0.3">
      <c r="C687" s="13"/>
    </row>
    <row r="688" spans="1:44" ht="15.5" x14ac:dyDescent="0.35">
      <c r="A688" s="18">
        <f>+A682+1</f>
        <v>84</v>
      </c>
      <c r="C688" s="22" t="s">
        <v>225</v>
      </c>
    </row>
    <row r="689" spans="1:44" x14ac:dyDescent="0.3">
      <c r="C689" s="6" t="s">
        <v>7</v>
      </c>
      <c r="D689" s="10">
        <v>0</v>
      </c>
      <c r="E689" s="10">
        <v>1793</v>
      </c>
      <c r="F689" s="10">
        <v>1793</v>
      </c>
      <c r="G689" s="10">
        <v>1793</v>
      </c>
      <c r="H689" s="10">
        <v>1793</v>
      </c>
      <c r="I689" s="10">
        <v>1793</v>
      </c>
      <c r="J689" s="10">
        <v>1793</v>
      </c>
      <c r="K689" s="10">
        <v>1793</v>
      </c>
      <c r="L689" s="10">
        <v>1793</v>
      </c>
      <c r="M689" s="10">
        <v>1793</v>
      </c>
      <c r="N689" s="10">
        <v>1793</v>
      </c>
      <c r="O689" s="10">
        <v>1494.17</v>
      </c>
      <c r="P689" s="10">
        <f>SUM(D689:O689)</f>
        <v>19424.169999999998</v>
      </c>
      <c r="Q689" s="10">
        <v>1494.17</v>
      </c>
      <c r="R689" s="10">
        <v>1494.17</v>
      </c>
      <c r="S689" s="10">
        <v>1494.17</v>
      </c>
      <c r="T689" s="10">
        <v>1494.17</v>
      </c>
      <c r="U689" s="10">
        <v>1494.17</v>
      </c>
      <c r="V689" s="10">
        <v>1494.17</v>
      </c>
      <c r="W689" s="10">
        <v>1494.17</v>
      </c>
      <c r="X689" s="10">
        <v>1494.17</v>
      </c>
      <c r="Y689" s="10">
        <v>1494.17</v>
      </c>
      <c r="Z689" s="10">
        <v>1494.17</v>
      </c>
      <c r="AA689" s="10">
        <v>1494.17</v>
      </c>
      <c r="AB689" s="10">
        <v>1485.83</v>
      </c>
      <c r="AC689" s="10">
        <f>SUM(Q689:AB689)</f>
        <v>17921.700000000004</v>
      </c>
      <c r="AD689" s="10">
        <v>1485.83</v>
      </c>
      <c r="AE689" s="10">
        <v>1485.83</v>
      </c>
      <c r="AF689" s="10">
        <v>1485.83</v>
      </c>
      <c r="AG689" s="10">
        <v>1485.83</v>
      </c>
      <c r="AH689" s="10">
        <v>1485.83</v>
      </c>
      <c r="AI689" s="10">
        <v>1485.83</v>
      </c>
      <c r="AJ689" s="10">
        <v>1485.83</v>
      </c>
      <c r="AK689" s="10">
        <v>1485.83</v>
      </c>
      <c r="AL689" s="10">
        <v>1485.83</v>
      </c>
      <c r="AM689" s="10">
        <v>1485.83</v>
      </c>
      <c r="AN689" s="10">
        <v>1485.83</v>
      </c>
      <c r="AO689" s="55">
        <v>1455.42</v>
      </c>
      <c r="AP689" s="10">
        <f>SUM(AD689:AO689)</f>
        <v>17799.55</v>
      </c>
    </row>
    <row r="690" spans="1:44" x14ac:dyDescent="0.3">
      <c r="C690" s="6" t="s">
        <v>8</v>
      </c>
      <c r="D690" s="9">
        <v>250</v>
      </c>
      <c r="P690" s="10">
        <f>SUM(D690:O690)</f>
        <v>250</v>
      </c>
      <c r="Q690" s="9">
        <v>250</v>
      </c>
      <c r="AC690" s="10">
        <f>SUM(Q690:AB690)</f>
        <v>250</v>
      </c>
      <c r="AD690" s="9">
        <v>250</v>
      </c>
      <c r="AE690" s="9"/>
      <c r="AF690" s="9"/>
      <c r="AG690" s="9"/>
      <c r="AH690" s="9"/>
      <c r="AI690" s="9"/>
      <c r="AJ690" s="9"/>
      <c r="AK690" s="9"/>
      <c r="AL690" s="9"/>
      <c r="AM690" s="9"/>
      <c r="AN690" s="23"/>
      <c r="AO690" s="56"/>
      <c r="AP690" s="10">
        <f>SUM(AD690:AO690)</f>
        <v>250</v>
      </c>
    </row>
    <row r="691" spans="1:44" ht="13.5" thickBot="1" x14ac:dyDescent="0.35">
      <c r="C691" s="6" t="s">
        <v>9</v>
      </c>
      <c r="D691" s="10">
        <v>0</v>
      </c>
      <c r="E691" s="10">
        <v>68756.95</v>
      </c>
      <c r="F691" s="10">
        <v>68756.95</v>
      </c>
      <c r="G691" s="10">
        <v>68756.95</v>
      </c>
      <c r="H691" s="10">
        <v>68756.95</v>
      </c>
      <c r="I691" s="10">
        <v>68756.95</v>
      </c>
      <c r="J691" s="10">
        <v>68756.95</v>
      </c>
      <c r="K691" s="10">
        <f>8333.33+48125</f>
        <v>56458.33</v>
      </c>
      <c r="L691" s="10">
        <f>8333.33+48125</f>
        <v>56458.33</v>
      </c>
      <c r="M691" s="10">
        <f>8333.33+48125</f>
        <v>56458.33</v>
      </c>
      <c r="N691" s="10">
        <f>8333.33+48125</f>
        <v>56458.33</v>
      </c>
      <c r="O691" s="10">
        <f>8333.33+48125</f>
        <v>56458.33</v>
      </c>
      <c r="P691" s="10">
        <f>SUM(D691:O691)</f>
        <v>694833.34999999986</v>
      </c>
      <c r="Q691" s="10">
        <f>8333.33+48125</f>
        <v>56458.33</v>
      </c>
      <c r="R691" s="10">
        <f>30416.67+47791.67</f>
        <v>78208.34</v>
      </c>
      <c r="S691" s="10">
        <f t="shared" ref="S691:AD691" si="439">30416.67+47791.67</f>
        <v>78208.34</v>
      </c>
      <c r="T691" s="10">
        <f t="shared" si="439"/>
        <v>78208.34</v>
      </c>
      <c r="U691" s="10">
        <f t="shared" si="439"/>
        <v>78208.34</v>
      </c>
      <c r="V691" s="10">
        <f t="shared" si="439"/>
        <v>78208.34</v>
      </c>
      <c r="W691" s="10">
        <f t="shared" si="439"/>
        <v>78208.34</v>
      </c>
      <c r="X691" s="10">
        <f t="shared" si="439"/>
        <v>78208.34</v>
      </c>
      <c r="Y691" s="10">
        <f t="shared" si="439"/>
        <v>78208.34</v>
      </c>
      <c r="Z691" s="10">
        <f t="shared" si="439"/>
        <v>78208.34</v>
      </c>
      <c r="AA691" s="10">
        <f t="shared" si="439"/>
        <v>78208.34</v>
      </c>
      <c r="AB691" s="10">
        <f t="shared" si="439"/>
        <v>78208.34</v>
      </c>
      <c r="AC691" s="10">
        <f>SUM(Q691:AB691)</f>
        <v>916750.06999999972</v>
      </c>
      <c r="AD691" s="10">
        <f t="shared" si="439"/>
        <v>78208.34</v>
      </c>
      <c r="AE691" s="10">
        <f>31666.67+46575</f>
        <v>78241.67</v>
      </c>
      <c r="AF691" s="10">
        <f t="shared" ref="AF691:AO691" si="440">31666.67+46575</f>
        <v>78241.67</v>
      </c>
      <c r="AG691" s="10">
        <f t="shared" si="440"/>
        <v>78241.67</v>
      </c>
      <c r="AH691" s="10">
        <f t="shared" si="440"/>
        <v>78241.67</v>
      </c>
      <c r="AI691" s="10">
        <f t="shared" si="440"/>
        <v>78241.67</v>
      </c>
      <c r="AJ691" s="10">
        <f t="shared" si="440"/>
        <v>78241.67</v>
      </c>
      <c r="AK691" s="10">
        <f t="shared" si="440"/>
        <v>78241.67</v>
      </c>
      <c r="AL691" s="10">
        <f t="shared" si="440"/>
        <v>78241.67</v>
      </c>
      <c r="AM691" s="10">
        <f t="shared" si="440"/>
        <v>78241.67</v>
      </c>
      <c r="AN691" s="10">
        <f t="shared" si="440"/>
        <v>78241.67</v>
      </c>
      <c r="AO691" s="55">
        <f t="shared" si="440"/>
        <v>78241.67</v>
      </c>
      <c r="AP691" s="10">
        <f>SUM(AD691:AO691)</f>
        <v>938866.7100000002</v>
      </c>
      <c r="AR691" s="33"/>
    </row>
    <row r="692" spans="1:44" ht="13.5" thickBot="1" x14ac:dyDescent="0.35">
      <c r="C692" s="11" t="s">
        <v>226</v>
      </c>
      <c r="D692" s="12">
        <f t="shared" ref="D692:AB692" si="441">SUM(D689:D691)</f>
        <v>250</v>
      </c>
      <c r="E692" s="12">
        <f t="shared" si="441"/>
        <v>70549.95</v>
      </c>
      <c r="F692" s="12">
        <f t="shared" si="441"/>
        <v>70549.95</v>
      </c>
      <c r="G692" s="12">
        <f t="shared" si="441"/>
        <v>70549.95</v>
      </c>
      <c r="H692" s="12">
        <f t="shared" si="441"/>
        <v>70549.95</v>
      </c>
      <c r="I692" s="12">
        <f t="shared" si="441"/>
        <v>70549.95</v>
      </c>
      <c r="J692" s="12">
        <f t="shared" si="441"/>
        <v>70549.95</v>
      </c>
      <c r="K692" s="12">
        <f t="shared" si="441"/>
        <v>58251.33</v>
      </c>
      <c r="L692" s="12">
        <f t="shared" si="441"/>
        <v>58251.33</v>
      </c>
      <c r="M692" s="12">
        <f t="shared" si="441"/>
        <v>58251.33</v>
      </c>
      <c r="N692" s="12">
        <f t="shared" si="441"/>
        <v>58251.33</v>
      </c>
      <c r="O692" s="12">
        <f t="shared" si="441"/>
        <v>57952.5</v>
      </c>
      <c r="P692" s="12">
        <f t="shared" si="441"/>
        <v>714507.5199999999</v>
      </c>
      <c r="Q692" s="12">
        <f t="shared" si="441"/>
        <v>58202.5</v>
      </c>
      <c r="R692" s="12">
        <f t="shared" si="441"/>
        <v>79702.509999999995</v>
      </c>
      <c r="S692" s="12">
        <f t="shared" si="441"/>
        <v>79702.509999999995</v>
      </c>
      <c r="T692" s="12">
        <f t="shared" si="441"/>
        <v>79702.509999999995</v>
      </c>
      <c r="U692" s="12">
        <f t="shared" si="441"/>
        <v>79702.509999999995</v>
      </c>
      <c r="V692" s="12">
        <f t="shared" si="441"/>
        <v>79702.509999999995</v>
      </c>
      <c r="W692" s="12">
        <f t="shared" si="441"/>
        <v>79702.509999999995</v>
      </c>
      <c r="X692" s="12">
        <f t="shared" si="441"/>
        <v>79702.509999999995</v>
      </c>
      <c r="Y692" s="12">
        <f t="shared" si="441"/>
        <v>79702.509999999995</v>
      </c>
      <c r="Z692" s="12">
        <f t="shared" si="441"/>
        <v>79702.509999999995</v>
      </c>
      <c r="AA692" s="12">
        <f t="shared" si="441"/>
        <v>79702.509999999995</v>
      </c>
      <c r="AB692" s="12">
        <f t="shared" si="441"/>
        <v>79694.17</v>
      </c>
      <c r="AC692" s="12">
        <f>SUM(AC689:AC691)</f>
        <v>934921.76999999967</v>
      </c>
      <c r="AD692" s="12">
        <f>SUM(AD689:AD691)</f>
        <v>79944.17</v>
      </c>
      <c r="AE692" s="12">
        <f>SUM(AE689:AE691)</f>
        <v>79727.5</v>
      </c>
      <c r="AF692" s="12">
        <f t="shared" ref="AF692:AO692" si="442">SUM(AF689:AF691)</f>
        <v>79727.5</v>
      </c>
      <c r="AG692" s="12">
        <f t="shared" si="442"/>
        <v>79727.5</v>
      </c>
      <c r="AH692" s="12">
        <f t="shared" si="442"/>
        <v>79727.5</v>
      </c>
      <c r="AI692" s="12">
        <f t="shared" si="442"/>
        <v>79727.5</v>
      </c>
      <c r="AJ692" s="12">
        <f t="shared" si="442"/>
        <v>79727.5</v>
      </c>
      <c r="AK692" s="12">
        <f t="shared" si="442"/>
        <v>79727.5</v>
      </c>
      <c r="AL692" s="12">
        <f t="shared" si="442"/>
        <v>79727.5</v>
      </c>
      <c r="AM692" s="12">
        <f t="shared" si="442"/>
        <v>79727.5</v>
      </c>
      <c r="AN692" s="12">
        <f t="shared" si="442"/>
        <v>79727.5</v>
      </c>
      <c r="AO692" s="57">
        <f t="shared" si="442"/>
        <v>79697.09</v>
      </c>
      <c r="AP692" s="12">
        <f>SUM(AP689:AP691)</f>
        <v>956916.26000000024</v>
      </c>
    </row>
    <row r="693" spans="1:44" x14ac:dyDescent="0.3">
      <c r="C693" s="13"/>
    </row>
    <row r="694" spans="1:44" ht="15.5" x14ac:dyDescent="0.35">
      <c r="A694" s="18">
        <f>+A688+1</f>
        <v>85</v>
      </c>
      <c r="C694" s="22" t="s">
        <v>227</v>
      </c>
    </row>
    <row r="695" spans="1:44" x14ac:dyDescent="0.3">
      <c r="C695" s="6" t="s">
        <v>7</v>
      </c>
      <c r="D695" s="10">
        <v>699.58</v>
      </c>
      <c r="E695" s="10">
        <v>699.58</v>
      </c>
      <c r="F695" s="10">
        <v>699.58</v>
      </c>
      <c r="G695" s="10">
        <v>699.58</v>
      </c>
      <c r="H695" s="10">
        <v>699.58</v>
      </c>
      <c r="I695" s="10">
        <v>699.58</v>
      </c>
      <c r="J695" s="10">
        <v>699.58</v>
      </c>
      <c r="K695" s="10">
        <v>699.58</v>
      </c>
      <c r="L695" s="10">
        <v>699.58</v>
      </c>
      <c r="M695" s="10">
        <v>699.58</v>
      </c>
      <c r="N695" s="10">
        <v>699.58</v>
      </c>
      <c r="O695" s="10">
        <v>699.58</v>
      </c>
      <c r="P695" s="10">
        <f>SUM(D695:O695)</f>
        <v>8394.9600000000009</v>
      </c>
      <c r="Q695" s="29">
        <v>691.67</v>
      </c>
      <c r="R695" s="29">
        <v>691.67</v>
      </c>
      <c r="S695" s="29">
        <v>691.67</v>
      </c>
      <c r="T695" s="29">
        <v>691.67</v>
      </c>
      <c r="U695" s="29">
        <v>691.67</v>
      </c>
      <c r="V695" s="29">
        <v>691.67</v>
      </c>
      <c r="W695" s="29">
        <v>691.67</v>
      </c>
      <c r="X695" s="29">
        <v>691.67</v>
      </c>
      <c r="Y695" s="29">
        <v>691.67</v>
      </c>
      <c r="Z695" s="29">
        <v>691.67</v>
      </c>
      <c r="AA695" s="29">
        <v>691.67</v>
      </c>
      <c r="AB695" s="29">
        <v>691.67</v>
      </c>
      <c r="AC695" s="10">
        <f>SUM(Q695:AB695)</f>
        <v>8300.0399999999991</v>
      </c>
      <c r="AD695" s="10">
        <v>666.25</v>
      </c>
      <c r="AE695" s="10">
        <v>666.25</v>
      </c>
      <c r="AF695" s="10">
        <v>666.25</v>
      </c>
      <c r="AG695" s="10">
        <v>666.25</v>
      </c>
      <c r="AH695" s="10">
        <v>666.25</v>
      </c>
      <c r="AI695" s="10">
        <v>666.25</v>
      </c>
      <c r="AJ695" s="10">
        <v>666.25</v>
      </c>
      <c r="AK695" s="10">
        <v>666.25</v>
      </c>
      <c r="AL695" s="10">
        <v>666.25</v>
      </c>
      <c r="AM695" s="10">
        <v>666.25</v>
      </c>
      <c r="AN695" s="10">
        <v>666.25</v>
      </c>
      <c r="AO695" s="55">
        <v>666.25</v>
      </c>
      <c r="AP695" s="10">
        <f>SUM(AD695:AO695)</f>
        <v>7995</v>
      </c>
    </row>
    <row r="696" spans="1:44" x14ac:dyDescent="0.3">
      <c r="C696" s="6" t="s">
        <v>8</v>
      </c>
      <c r="D696" s="9">
        <v>250</v>
      </c>
      <c r="P696" s="10">
        <f>SUM(D696:O696)</f>
        <v>250</v>
      </c>
      <c r="Q696" s="9">
        <v>250</v>
      </c>
      <c r="AC696" s="10">
        <f>SUM(Q696:AB696)</f>
        <v>250</v>
      </c>
      <c r="AD696" s="9">
        <v>250</v>
      </c>
      <c r="AE696" s="9"/>
      <c r="AF696" s="9"/>
      <c r="AG696" s="9"/>
      <c r="AH696" s="9"/>
      <c r="AI696" s="9"/>
      <c r="AJ696" s="9"/>
      <c r="AK696" s="9"/>
      <c r="AL696" s="9"/>
      <c r="AM696" s="9"/>
      <c r="AN696" s="23"/>
      <c r="AO696" s="56"/>
      <c r="AP696" s="10">
        <f>SUM(AD696:AO696)</f>
        <v>250</v>
      </c>
    </row>
    <row r="697" spans="1:44" ht="13.5" thickBot="1" x14ac:dyDescent="0.35">
      <c r="C697" s="6" t="s">
        <v>9</v>
      </c>
      <c r="D697" s="10">
        <v>35429.17</v>
      </c>
      <c r="E697" s="10">
        <v>35429.17</v>
      </c>
      <c r="F697" s="10">
        <v>35429.17</v>
      </c>
      <c r="G697" s="10">
        <v>35429.17</v>
      </c>
      <c r="H697" s="10">
        <v>35429.17</v>
      </c>
      <c r="I697" s="10">
        <v>35429.17</v>
      </c>
      <c r="J697" s="10">
        <v>35429.17</v>
      </c>
      <c r="K697" s="10">
        <v>35429.17</v>
      </c>
      <c r="L697" s="10">
        <v>35429.17</v>
      </c>
      <c r="M697" s="10">
        <v>35429.17</v>
      </c>
      <c r="N697" s="10">
        <v>35429.17</v>
      </c>
      <c r="O697" s="10">
        <v>35429.129999999997</v>
      </c>
      <c r="P697" s="10">
        <f>SUM(D697:O697)</f>
        <v>425149.99999999988</v>
      </c>
      <c r="Q697" s="9">
        <f>25416.67+27314.58</f>
        <v>52731.25</v>
      </c>
      <c r="R697" s="9">
        <f t="shared" ref="R697:AA697" si="443">25416.67+27314.58</f>
        <v>52731.25</v>
      </c>
      <c r="S697" s="9">
        <f t="shared" si="443"/>
        <v>52731.25</v>
      </c>
      <c r="T697" s="9">
        <f t="shared" si="443"/>
        <v>52731.25</v>
      </c>
      <c r="U697" s="9">
        <f t="shared" si="443"/>
        <v>52731.25</v>
      </c>
      <c r="V697" s="9">
        <f>25416.67+27314.6</f>
        <v>52731.27</v>
      </c>
      <c r="W697" s="9">
        <f t="shared" si="443"/>
        <v>52731.25</v>
      </c>
      <c r="X697" s="9">
        <f t="shared" si="443"/>
        <v>52731.25</v>
      </c>
      <c r="Y697" s="9">
        <f t="shared" si="443"/>
        <v>52731.25</v>
      </c>
      <c r="Z697" s="9">
        <f t="shared" si="443"/>
        <v>52731.25</v>
      </c>
      <c r="AA697" s="9">
        <f t="shared" si="443"/>
        <v>52731.25</v>
      </c>
      <c r="AB697" s="9">
        <f>25416.63+27314.6</f>
        <v>52731.229999999996</v>
      </c>
      <c r="AC697" s="10">
        <f>SUM(Q697:AB697)</f>
        <v>632775</v>
      </c>
      <c r="AD697" s="10">
        <f>26250+26379.17</f>
        <v>52629.17</v>
      </c>
      <c r="AE697" s="10">
        <f t="shared" ref="AE697:AN697" si="444">26250+26379.17</f>
        <v>52629.17</v>
      </c>
      <c r="AF697" s="10">
        <f t="shared" si="444"/>
        <v>52629.17</v>
      </c>
      <c r="AG697" s="10">
        <f t="shared" si="444"/>
        <v>52629.17</v>
      </c>
      <c r="AH697" s="10">
        <f t="shared" si="444"/>
        <v>52629.17</v>
      </c>
      <c r="AI697" s="10">
        <f>26250+26379.15</f>
        <v>52629.15</v>
      </c>
      <c r="AJ697" s="10">
        <f t="shared" si="444"/>
        <v>52629.17</v>
      </c>
      <c r="AK697" s="10">
        <f t="shared" si="444"/>
        <v>52629.17</v>
      </c>
      <c r="AL697" s="10">
        <f t="shared" si="444"/>
        <v>52629.17</v>
      </c>
      <c r="AM697" s="10">
        <f t="shared" si="444"/>
        <v>52629.17</v>
      </c>
      <c r="AN697" s="10">
        <f t="shared" si="444"/>
        <v>52629.17</v>
      </c>
      <c r="AO697" s="55">
        <f>26250+26379.15</f>
        <v>52629.15</v>
      </c>
      <c r="AP697" s="10">
        <f>SUM(AD697:AO697)</f>
        <v>631550</v>
      </c>
      <c r="AR697" s="33"/>
    </row>
    <row r="698" spans="1:44" ht="13.5" thickBot="1" x14ac:dyDescent="0.35">
      <c r="C698" s="11" t="s">
        <v>228</v>
      </c>
      <c r="D698" s="12">
        <f t="shared" ref="D698:AB698" si="445">SUM(D695:D697)</f>
        <v>36378.75</v>
      </c>
      <c r="E698" s="12">
        <f t="shared" si="445"/>
        <v>36128.75</v>
      </c>
      <c r="F698" s="12">
        <f t="shared" si="445"/>
        <v>36128.75</v>
      </c>
      <c r="G698" s="12">
        <f t="shared" si="445"/>
        <v>36128.75</v>
      </c>
      <c r="H698" s="12">
        <f t="shared" si="445"/>
        <v>36128.75</v>
      </c>
      <c r="I698" s="12">
        <f t="shared" si="445"/>
        <v>36128.75</v>
      </c>
      <c r="J698" s="12">
        <f t="shared" si="445"/>
        <v>36128.75</v>
      </c>
      <c r="K698" s="12">
        <f t="shared" si="445"/>
        <v>36128.75</v>
      </c>
      <c r="L698" s="12">
        <f t="shared" si="445"/>
        <v>36128.75</v>
      </c>
      <c r="M698" s="12">
        <f t="shared" si="445"/>
        <v>36128.75</v>
      </c>
      <c r="N698" s="12">
        <f t="shared" si="445"/>
        <v>36128.75</v>
      </c>
      <c r="O698" s="12">
        <f t="shared" si="445"/>
        <v>36128.71</v>
      </c>
      <c r="P698" s="12">
        <f t="shared" si="445"/>
        <v>433794.9599999999</v>
      </c>
      <c r="Q698" s="12">
        <f t="shared" si="445"/>
        <v>53672.92</v>
      </c>
      <c r="R698" s="12">
        <f t="shared" si="445"/>
        <v>53422.92</v>
      </c>
      <c r="S698" s="12">
        <f t="shared" si="445"/>
        <v>53422.92</v>
      </c>
      <c r="T698" s="12">
        <f t="shared" si="445"/>
        <v>53422.92</v>
      </c>
      <c r="U698" s="12">
        <f t="shared" si="445"/>
        <v>53422.92</v>
      </c>
      <c r="V698" s="12">
        <f t="shared" si="445"/>
        <v>53422.939999999995</v>
      </c>
      <c r="W698" s="12">
        <f t="shared" si="445"/>
        <v>53422.92</v>
      </c>
      <c r="X698" s="12">
        <f t="shared" si="445"/>
        <v>53422.92</v>
      </c>
      <c r="Y698" s="12">
        <f t="shared" si="445"/>
        <v>53422.92</v>
      </c>
      <c r="Z698" s="12">
        <f t="shared" si="445"/>
        <v>53422.92</v>
      </c>
      <c r="AA698" s="12">
        <f t="shared" si="445"/>
        <v>53422.92</v>
      </c>
      <c r="AB698" s="12">
        <f t="shared" si="445"/>
        <v>53422.899999999994</v>
      </c>
      <c r="AC698" s="12">
        <f>SUM(AC695:AC697)</f>
        <v>641325.04</v>
      </c>
      <c r="AD698" s="12">
        <f>SUM(AD695:AD697)</f>
        <v>53545.42</v>
      </c>
      <c r="AE698" s="12">
        <f>SUM(AE695:AE697)</f>
        <v>53295.42</v>
      </c>
      <c r="AF698" s="12">
        <f t="shared" ref="AF698:AO698" si="446">SUM(AF695:AF697)</f>
        <v>53295.42</v>
      </c>
      <c r="AG698" s="12">
        <f t="shared" si="446"/>
        <v>53295.42</v>
      </c>
      <c r="AH698" s="12">
        <f t="shared" si="446"/>
        <v>53295.42</v>
      </c>
      <c r="AI698" s="12">
        <f t="shared" si="446"/>
        <v>53295.4</v>
      </c>
      <c r="AJ698" s="12">
        <f t="shared" si="446"/>
        <v>53295.42</v>
      </c>
      <c r="AK698" s="12">
        <f t="shared" si="446"/>
        <v>53295.42</v>
      </c>
      <c r="AL698" s="12">
        <f t="shared" si="446"/>
        <v>53295.42</v>
      </c>
      <c r="AM698" s="12">
        <f t="shared" si="446"/>
        <v>53295.42</v>
      </c>
      <c r="AN698" s="12">
        <f t="shared" si="446"/>
        <v>53295.42</v>
      </c>
      <c r="AO698" s="57">
        <f t="shared" si="446"/>
        <v>53295.4</v>
      </c>
      <c r="AP698" s="12">
        <f>SUM(AP695:AP697)</f>
        <v>639795</v>
      </c>
    </row>
    <row r="699" spans="1:44" x14ac:dyDescent="0.3">
      <c r="C699" s="13"/>
    </row>
    <row r="700" spans="1:44" ht="15.5" x14ac:dyDescent="0.35">
      <c r="A700" s="18">
        <f>+A694+1</f>
        <v>86</v>
      </c>
      <c r="C700" s="22" t="s">
        <v>229</v>
      </c>
    </row>
    <row r="701" spans="1:44" x14ac:dyDescent="0.3">
      <c r="C701" s="6" t="s">
        <v>7</v>
      </c>
      <c r="D701" s="10">
        <v>0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f>SUM(D701:O701)</f>
        <v>0</v>
      </c>
      <c r="Q701" s="10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  <c r="AC701" s="10">
        <f>SUM(Q701:AB701)</f>
        <v>0</v>
      </c>
      <c r="AD701" s="10">
        <v>0</v>
      </c>
      <c r="AE701" s="10">
        <v>0</v>
      </c>
      <c r="AF701" s="10">
        <v>0</v>
      </c>
      <c r="AG701" s="10">
        <v>0</v>
      </c>
      <c r="AH701" s="10">
        <v>0</v>
      </c>
      <c r="AI701" s="10">
        <v>0</v>
      </c>
      <c r="AJ701" s="10">
        <v>0</v>
      </c>
      <c r="AK701" s="10">
        <v>0</v>
      </c>
      <c r="AL701" s="10">
        <v>0</v>
      </c>
      <c r="AM701" s="10">
        <v>0</v>
      </c>
      <c r="AN701" s="10">
        <v>0</v>
      </c>
      <c r="AO701" s="55">
        <v>0</v>
      </c>
      <c r="AP701" s="10">
        <f>SUM(AD701:AO701)</f>
        <v>0</v>
      </c>
    </row>
    <row r="702" spans="1:44" x14ac:dyDescent="0.3">
      <c r="C702" s="6" t="s">
        <v>8</v>
      </c>
      <c r="D702" s="9"/>
      <c r="E702" s="9">
        <v>229.17</v>
      </c>
      <c r="P702" s="10">
        <f>SUM(D702:O702)</f>
        <v>229.17</v>
      </c>
      <c r="Q702" s="9">
        <v>250</v>
      </c>
      <c r="AC702" s="10">
        <f>SUM(Q702:AB702)</f>
        <v>250</v>
      </c>
      <c r="AD702" s="9">
        <v>250</v>
      </c>
      <c r="AE702" s="9"/>
      <c r="AF702" s="9"/>
      <c r="AG702" s="9"/>
      <c r="AH702" s="9"/>
      <c r="AI702" s="9"/>
      <c r="AJ702" s="9"/>
      <c r="AK702" s="9"/>
      <c r="AL702" s="9"/>
      <c r="AM702" s="9"/>
      <c r="AN702" s="23"/>
      <c r="AO702" s="56"/>
      <c r="AP702" s="10">
        <f>SUM(AD702:AO702)</f>
        <v>250</v>
      </c>
    </row>
    <row r="703" spans="1:44" ht="13.5" thickBot="1" x14ac:dyDescent="0.35">
      <c r="C703" s="6" t="s">
        <v>9</v>
      </c>
      <c r="D703" s="10">
        <v>0</v>
      </c>
      <c r="E703" s="10">
        <v>105949.49</v>
      </c>
      <c r="F703" s="10">
        <v>105949.49</v>
      </c>
      <c r="G703" s="10">
        <v>105949.49</v>
      </c>
      <c r="H703" s="10">
        <v>105949.46</v>
      </c>
      <c r="I703" s="10">
        <v>93484.84</v>
      </c>
      <c r="J703" s="10">
        <v>93484.84</v>
      </c>
      <c r="K703" s="10">
        <v>93484.84</v>
      </c>
      <c r="L703" s="10">
        <v>93484.84</v>
      </c>
      <c r="M703" s="10">
        <v>93484.84</v>
      </c>
      <c r="N703" s="10">
        <v>93484.82</v>
      </c>
      <c r="O703" s="10">
        <v>93484.84</v>
      </c>
      <c r="P703" s="10">
        <f>SUM(D703:O703)</f>
        <v>1078191.79</v>
      </c>
      <c r="Q703" s="10">
        <v>93484.84</v>
      </c>
      <c r="R703" s="10">
        <v>93484.84</v>
      </c>
      <c r="S703" s="10">
        <v>93484.84</v>
      </c>
      <c r="T703" s="10">
        <v>93484.84</v>
      </c>
      <c r="U703" s="10">
        <v>93484.84</v>
      </c>
      <c r="V703" s="10">
        <v>93484.84</v>
      </c>
      <c r="W703" s="10">
        <v>93484.84</v>
      </c>
      <c r="X703" s="10">
        <v>93484.84</v>
      </c>
      <c r="Y703" s="10">
        <v>93484.84</v>
      </c>
      <c r="Z703" s="10">
        <v>93484.84</v>
      </c>
      <c r="AA703" s="10">
        <v>93484.800000000003</v>
      </c>
      <c r="AB703" s="10">
        <f>2510.42+93484.84</f>
        <v>95995.26</v>
      </c>
      <c r="AC703" s="10">
        <f>SUM(Q703:AB703)</f>
        <v>1124328.4599999997</v>
      </c>
      <c r="AD703" s="10">
        <f t="shared" ref="AD703:AM703" si="447">2510.42+93484.84</f>
        <v>95995.26</v>
      </c>
      <c r="AE703" s="10">
        <f t="shared" si="447"/>
        <v>95995.26</v>
      </c>
      <c r="AF703" s="10">
        <f t="shared" si="447"/>
        <v>95995.26</v>
      </c>
      <c r="AG703" s="10">
        <f t="shared" si="447"/>
        <v>95995.26</v>
      </c>
      <c r="AH703" s="10">
        <f t="shared" si="447"/>
        <v>95995.26</v>
      </c>
      <c r="AI703" s="10">
        <f t="shared" si="447"/>
        <v>95995.26</v>
      </c>
      <c r="AJ703" s="10">
        <f t="shared" si="447"/>
        <v>95995.26</v>
      </c>
      <c r="AK703" s="10">
        <f t="shared" si="447"/>
        <v>95995.26</v>
      </c>
      <c r="AL703" s="10">
        <f t="shared" si="447"/>
        <v>95995.26</v>
      </c>
      <c r="AM703" s="10">
        <f t="shared" si="447"/>
        <v>95995.26</v>
      </c>
      <c r="AN703" s="10">
        <f>2510.38+93484.8</f>
        <v>95995.180000000008</v>
      </c>
      <c r="AO703" s="55">
        <f>2661.09+93334.22</f>
        <v>95995.31</v>
      </c>
      <c r="AP703" s="10">
        <f>SUM(AD703:AO703)</f>
        <v>1151943.0900000001</v>
      </c>
      <c r="AR703" s="33"/>
    </row>
    <row r="704" spans="1:44" ht="13.5" thickBot="1" x14ac:dyDescent="0.35">
      <c r="C704" s="11" t="s">
        <v>230</v>
      </c>
      <c r="D704" s="12">
        <f t="shared" ref="D704:AB704" si="448">SUM(D701:D703)</f>
        <v>0</v>
      </c>
      <c r="E704" s="12">
        <f t="shared" si="448"/>
        <v>106178.66</v>
      </c>
      <c r="F704" s="12">
        <f t="shared" si="448"/>
        <v>105949.49</v>
      </c>
      <c r="G704" s="12">
        <f t="shared" si="448"/>
        <v>105949.49</v>
      </c>
      <c r="H704" s="12">
        <f t="shared" si="448"/>
        <v>105949.46</v>
      </c>
      <c r="I704" s="12">
        <f t="shared" si="448"/>
        <v>93484.84</v>
      </c>
      <c r="J704" s="12">
        <f t="shared" si="448"/>
        <v>93484.84</v>
      </c>
      <c r="K704" s="12">
        <f t="shared" si="448"/>
        <v>93484.84</v>
      </c>
      <c r="L704" s="12">
        <f t="shared" si="448"/>
        <v>93484.84</v>
      </c>
      <c r="M704" s="12">
        <f t="shared" si="448"/>
        <v>93484.84</v>
      </c>
      <c r="N704" s="12">
        <f t="shared" si="448"/>
        <v>93484.82</v>
      </c>
      <c r="O704" s="12">
        <f t="shared" si="448"/>
        <v>93484.84</v>
      </c>
      <c r="P704" s="12">
        <f t="shared" si="448"/>
        <v>1078420.96</v>
      </c>
      <c r="Q704" s="12">
        <f t="shared" si="448"/>
        <v>93734.84</v>
      </c>
      <c r="R704" s="12">
        <f t="shared" si="448"/>
        <v>93484.84</v>
      </c>
      <c r="S704" s="12">
        <f t="shared" si="448"/>
        <v>93484.84</v>
      </c>
      <c r="T704" s="12">
        <f t="shared" si="448"/>
        <v>93484.84</v>
      </c>
      <c r="U704" s="12">
        <f t="shared" si="448"/>
        <v>93484.84</v>
      </c>
      <c r="V704" s="12">
        <f t="shared" si="448"/>
        <v>93484.84</v>
      </c>
      <c r="W704" s="12">
        <f t="shared" si="448"/>
        <v>93484.84</v>
      </c>
      <c r="X704" s="12">
        <f t="shared" si="448"/>
        <v>93484.84</v>
      </c>
      <c r="Y704" s="12">
        <f t="shared" si="448"/>
        <v>93484.84</v>
      </c>
      <c r="Z704" s="12">
        <f t="shared" si="448"/>
        <v>93484.84</v>
      </c>
      <c r="AA704" s="12">
        <f t="shared" si="448"/>
        <v>93484.800000000003</v>
      </c>
      <c r="AB704" s="12">
        <f t="shared" si="448"/>
        <v>95995.26</v>
      </c>
      <c r="AC704" s="12">
        <f>SUM(AC701:AC703)</f>
        <v>1124578.4599999997</v>
      </c>
      <c r="AD704" s="12">
        <f>SUM(AD701:AD703)</f>
        <v>96245.26</v>
      </c>
      <c r="AE704" s="12">
        <f>SUM(AE701:AE703)</f>
        <v>95995.26</v>
      </c>
      <c r="AF704" s="12">
        <f t="shared" ref="AF704:AO704" si="449">SUM(AF701:AF703)</f>
        <v>95995.26</v>
      </c>
      <c r="AG704" s="12">
        <f t="shared" si="449"/>
        <v>95995.26</v>
      </c>
      <c r="AH704" s="12">
        <f t="shared" si="449"/>
        <v>95995.26</v>
      </c>
      <c r="AI704" s="12">
        <f t="shared" si="449"/>
        <v>95995.26</v>
      </c>
      <c r="AJ704" s="12">
        <f t="shared" si="449"/>
        <v>95995.26</v>
      </c>
      <c r="AK704" s="12">
        <f t="shared" si="449"/>
        <v>95995.26</v>
      </c>
      <c r="AL704" s="12">
        <f t="shared" si="449"/>
        <v>95995.26</v>
      </c>
      <c r="AM704" s="12">
        <f t="shared" si="449"/>
        <v>95995.26</v>
      </c>
      <c r="AN704" s="12">
        <f t="shared" si="449"/>
        <v>95995.180000000008</v>
      </c>
      <c r="AO704" s="57">
        <f t="shared" si="449"/>
        <v>95995.31</v>
      </c>
      <c r="AP704" s="12">
        <f>SUM(AP701:AP703)</f>
        <v>1152193.0900000001</v>
      </c>
    </row>
    <row r="705" spans="1:44" x14ac:dyDescent="0.3">
      <c r="C705" s="13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</row>
    <row r="706" spans="1:44" ht="15.5" x14ac:dyDescent="0.35">
      <c r="A706" s="18">
        <f>+A700+1</f>
        <v>87</v>
      </c>
      <c r="C706" s="22" t="s">
        <v>231</v>
      </c>
    </row>
    <row r="707" spans="1:44" x14ac:dyDescent="0.3">
      <c r="C707" s="6" t="s">
        <v>7</v>
      </c>
      <c r="D707" s="10">
        <v>0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f>SUM(D707:O707)</f>
        <v>0</v>
      </c>
      <c r="Q707" s="10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0</v>
      </c>
      <c r="AC707" s="10">
        <f>SUM(Q707:AB707)</f>
        <v>0</v>
      </c>
      <c r="AD707" s="10">
        <v>0</v>
      </c>
      <c r="AE707" s="10">
        <v>0</v>
      </c>
      <c r="AF707" s="10">
        <v>0</v>
      </c>
      <c r="AG707" s="10">
        <v>0</v>
      </c>
      <c r="AH707" s="10">
        <v>0</v>
      </c>
      <c r="AI707" s="10">
        <v>0</v>
      </c>
      <c r="AJ707" s="10">
        <v>0</v>
      </c>
      <c r="AK707" s="10">
        <v>0</v>
      </c>
      <c r="AL707" s="10">
        <v>0</v>
      </c>
      <c r="AM707" s="10">
        <v>0</v>
      </c>
      <c r="AN707" s="10">
        <v>0</v>
      </c>
      <c r="AO707" s="55">
        <v>0</v>
      </c>
      <c r="AP707" s="10">
        <f>SUM(AD707:AO707)</f>
        <v>0</v>
      </c>
    </row>
    <row r="708" spans="1:44" x14ac:dyDescent="0.3">
      <c r="C708" s="6" t="s">
        <v>8</v>
      </c>
      <c r="D708" s="9"/>
      <c r="E708" s="9"/>
      <c r="G708" s="9"/>
      <c r="P708" s="10">
        <f>SUM(D708:O708)</f>
        <v>0</v>
      </c>
      <c r="Q708" s="9">
        <v>250</v>
      </c>
      <c r="AC708" s="10">
        <f>SUM(Q708:AB708)</f>
        <v>250</v>
      </c>
      <c r="AD708" s="9">
        <v>250</v>
      </c>
      <c r="AE708" s="9"/>
      <c r="AF708" s="9"/>
      <c r="AG708" s="9"/>
      <c r="AH708" s="9"/>
      <c r="AI708" s="9"/>
      <c r="AJ708" s="9"/>
      <c r="AK708" s="9"/>
      <c r="AL708" s="9"/>
      <c r="AM708" s="9"/>
      <c r="AN708" s="23"/>
      <c r="AO708" s="56"/>
      <c r="AP708" s="10">
        <f>SUM(AD708:AO708)</f>
        <v>250</v>
      </c>
    </row>
    <row r="709" spans="1:44" ht="13.5" thickBot="1" x14ac:dyDescent="0.35">
      <c r="C709" s="6" t="s">
        <v>9</v>
      </c>
      <c r="D709" s="10">
        <v>0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f>SUM(D709:O709)</f>
        <v>0</v>
      </c>
      <c r="Q709" s="10">
        <v>57680.47</v>
      </c>
      <c r="R709" s="10">
        <v>57680.47</v>
      </c>
      <c r="S709" s="10">
        <v>57680.47</v>
      </c>
      <c r="T709" s="10">
        <v>57680.47</v>
      </c>
      <c r="U709" s="10">
        <v>57680.47</v>
      </c>
      <c r="V709" s="10">
        <v>57680.45</v>
      </c>
      <c r="W709" s="10">
        <v>57680.47</v>
      </c>
      <c r="X709" s="10">
        <v>57680.47</v>
      </c>
      <c r="Y709" s="10">
        <v>57680.47</v>
      </c>
      <c r="Z709" s="10">
        <v>57680.47</v>
      </c>
      <c r="AA709" s="10">
        <v>57680.47</v>
      </c>
      <c r="AB709" s="10">
        <v>57680.47</v>
      </c>
      <c r="AC709" s="10">
        <f>SUM(Q709:AB709)</f>
        <v>692165.61999999988</v>
      </c>
      <c r="AD709" s="10">
        <v>76907.3</v>
      </c>
      <c r="AE709" s="10">
        <v>76907.3</v>
      </c>
      <c r="AF709" s="10">
        <v>76907.3</v>
      </c>
      <c r="AG709" s="10">
        <v>76907.3</v>
      </c>
      <c r="AH709" s="10">
        <v>76907.3</v>
      </c>
      <c r="AI709" s="10">
        <v>76907.3</v>
      </c>
      <c r="AJ709" s="10">
        <v>76907.3</v>
      </c>
      <c r="AK709" s="10">
        <v>76907.3</v>
      </c>
      <c r="AL709" s="10">
        <v>76907.3</v>
      </c>
      <c r="AM709" s="10">
        <v>76907.3</v>
      </c>
      <c r="AN709" s="10">
        <v>76907.3</v>
      </c>
      <c r="AO709" s="55">
        <v>76907.199999999997</v>
      </c>
      <c r="AP709" s="10">
        <f>SUM(AD709:AO709)</f>
        <v>922887.50000000012</v>
      </c>
      <c r="AR709" s="33"/>
    </row>
    <row r="710" spans="1:44" ht="13.5" thickBot="1" x14ac:dyDescent="0.35">
      <c r="C710" s="11" t="s">
        <v>155</v>
      </c>
      <c r="D710" s="12">
        <f t="shared" ref="D710:AB710" si="450">SUM(D707:D709)</f>
        <v>0</v>
      </c>
      <c r="E710" s="12">
        <f t="shared" si="450"/>
        <v>0</v>
      </c>
      <c r="F710" s="12">
        <f t="shared" si="450"/>
        <v>0</v>
      </c>
      <c r="G710" s="12">
        <f t="shared" si="450"/>
        <v>0</v>
      </c>
      <c r="H710" s="12">
        <f t="shared" si="450"/>
        <v>0</v>
      </c>
      <c r="I710" s="12">
        <f t="shared" si="450"/>
        <v>0</v>
      </c>
      <c r="J710" s="12">
        <f t="shared" si="450"/>
        <v>0</v>
      </c>
      <c r="K710" s="12">
        <f t="shared" si="450"/>
        <v>0</v>
      </c>
      <c r="L710" s="12">
        <f t="shared" si="450"/>
        <v>0</v>
      </c>
      <c r="M710" s="12">
        <f t="shared" si="450"/>
        <v>0</v>
      </c>
      <c r="N710" s="12">
        <f t="shared" si="450"/>
        <v>0</v>
      </c>
      <c r="O710" s="12">
        <f t="shared" si="450"/>
        <v>0</v>
      </c>
      <c r="P710" s="12">
        <f t="shared" si="450"/>
        <v>0</v>
      </c>
      <c r="Q710" s="12">
        <f t="shared" si="450"/>
        <v>57930.47</v>
      </c>
      <c r="R710" s="12">
        <f t="shared" si="450"/>
        <v>57680.47</v>
      </c>
      <c r="S710" s="12">
        <f t="shared" si="450"/>
        <v>57680.47</v>
      </c>
      <c r="T710" s="12">
        <f t="shared" si="450"/>
        <v>57680.47</v>
      </c>
      <c r="U710" s="12">
        <f t="shared" si="450"/>
        <v>57680.47</v>
      </c>
      <c r="V710" s="12">
        <f t="shared" si="450"/>
        <v>57680.45</v>
      </c>
      <c r="W710" s="12">
        <f t="shared" si="450"/>
        <v>57680.47</v>
      </c>
      <c r="X710" s="12">
        <f t="shared" si="450"/>
        <v>57680.47</v>
      </c>
      <c r="Y710" s="12">
        <f t="shared" si="450"/>
        <v>57680.47</v>
      </c>
      <c r="Z710" s="12">
        <f t="shared" si="450"/>
        <v>57680.47</v>
      </c>
      <c r="AA710" s="12">
        <f t="shared" si="450"/>
        <v>57680.47</v>
      </c>
      <c r="AB710" s="12">
        <f t="shared" si="450"/>
        <v>57680.47</v>
      </c>
      <c r="AC710" s="12">
        <f>SUM(AC707:AC709)</f>
        <v>692415.61999999988</v>
      </c>
      <c r="AD710" s="12">
        <f>SUM(AD707:AD709)</f>
        <v>77157.3</v>
      </c>
      <c r="AE710" s="12">
        <f>SUM(AE707:AE709)</f>
        <v>76907.3</v>
      </c>
      <c r="AF710" s="12">
        <f t="shared" ref="AF710:AO710" si="451">SUM(AF707:AF709)</f>
        <v>76907.3</v>
      </c>
      <c r="AG710" s="12">
        <f t="shared" si="451"/>
        <v>76907.3</v>
      </c>
      <c r="AH710" s="12">
        <f t="shared" si="451"/>
        <v>76907.3</v>
      </c>
      <c r="AI710" s="12">
        <f t="shared" si="451"/>
        <v>76907.3</v>
      </c>
      <c r="AJ710" s="12">
        <f t="shared" si="451"/>
        <v>76907.3</v>
      </c>
      <c r="AK710" s="12">
        <f t="shared" si="451"/>
        <v>76907.3</v>
      </c>
      <c r="AL710" s="12">
        <f t="shared" si="451"/>
        <v>76907.3</v>
      </c>
      <c r="AM710" s="12">
        <f t="shared" si="451"/>
        <v>76907.3</v>
      </c>
      <c r="AN710" s="12">
        <f t="shared" si="451"/>
        <v>76907.3</v>
      </c>
      <c r="AO710" s="57">
        <f t="shared" si="451"/>
        <v>76907.199999999997</v>
      </c>
      <c r="AP710" s="12">
        <f>SUM(AP707:AP709)</f>
        <v>923137.50000000012</v>
      </c>
    </row>
    <row r="711" spans="1:44" x14ac:dyDescent="0.3">
      <c r="C711" s="13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</row>
    <row r="712" spans="1:44" ht="15.5" x14ac:dyDescent="0.35">
      <c r="A712" s="18">
        <f>+A706+1</f>
        <v>88</v>
      </c>
      <c r="C712" s="22" t="s">
        <v>232</v>
      </c>
    </row>
    <row r="713" spans="1:44" x14ac:dyDescent="0.3">
      <c r="C713" s="6" t="s">
        <v>7</v>
      </c>
      <c r="D713" s="10">
        <v>0</v>
      </c>
      <c r="E713" s="10">
        <v>0</v>
      </c>
      <c r="F713" s="10">
        <v>0</v>
      </c>
      <c r="G713" s="10">
        <v>634.58000000000004</v>
      </c>
      <c r="H713" s="10">
        <v>634.58000000000004</v>
      </c>
      <c r="I713" s="10">
        <v>634.58000000000004</v>
      </c>
      <c r="J713" s="10">
        <v>634.58000000000004</v>
      </c>
      <c r="K713" s="10">
        <v>634.58000000000004</v>
      </c>
      <c r="L713" s="10">
        <v>634.58000000000004</v>
      </c>
      <c r="M713" s="10">
        <v>634.58000000000004</v>
      </c>
      <c r="N713" s="10">
        <v>634.58000000000004</v>
      </c>
      <c r="O713" s="10">
        <v>634.58000000000004</v>
      </c>
      <c r="P713" s="10">
        <f>SUM(D713:O713)</f>
        <v>5711.22</v>
      </c>
      <c r="Q713" s="10">
        <v>634.58000000000004</v>
      </c>
      <c r="R713" s="10">
        <v>634.58000000000004</v>
      </c>
      <c r="S713" s="10">
        <v>634.58000000000004</v>
      </c>
      <c r="T713" s="10">
        <v>625.41999999999996</v>
      </c>
      <c r="U713" s="10">
        <v>625.41999999999996</v>
      </c>
      <c r="V713" s="10">
        <v>625.41999999999996</v>
      </c>
      <c r="W713" s="10">
        <v>625.41999999999996</v>
      </c>
      <c r="X713" s="10">
        <v>625.41999999999996</v>
      </c>
      <c r="Y713" s="10">
        <v>625.41999999999996</v>
      </c>
      <c r="Z713" s="10">
        <v>625.41999999999996</v>
      </c>
      <c r="AA713" s="10">
        <v>625.41999999999996</v>
      </c>
      <c r="AB713" s="10">
        <v>625.41999999999996</v>
      </c>
      <c r="AC713" s="10">
        <f>SUM(Q713:AB713)</f>
        <v>7532.52</v>
      </c>
      <c r="AD713" s="10">
        <v>625.41999999999996</v>
      </c>
      <c r="AE713" s="10">
        <v>625.41999999999996</v>
      </c>
      <c r="AF713" s="10">
        <v>625.41999999999996</v>
      </c>
      <c r="AG713" s="10">
        <v>612.91999999999996</v>
      </c>
      <c r="AH713" s="10">
        <v>612.91999999999996</v>
      </c>
      <c r="AI713" s="10">
        <v>612.91999999999996</v>
      </c>
      <c r="AJ713" s="10">
        <v>612.91999999999996</v>
      </c>
      <c r="AK713" s="10">
        <v>612.91999999999996</v>
      </c>
      <c r="AL713" s="10">
        <v>612.91999999999996</v>
      </c>
      <c r="AM713" s="10">
        <v>612.91999999999996</v>
      </c>
      <c r="AN713" s="10">
        <v>612.91999999999996</v>
      </c>
      <c r="AO713" s="55">
        <v>612.91999999999996</v>
      </c>
      <c r="AP713" s="10">
        <f>SUM(AD713:AO713)</f>
        <v>7392.54</v>
      </c>
    </row>
    <row r="714" spans="1:44" x14ac:dyDescent="0.3">
      <c r="C714" s="6" t="s">
        <v>8</v>
      </c>
      <c r="D714" s="9"/>
      <c r="E714" s="9"/>
      <c r="G714" s="9">
        <v>187.5</v>
      </c>
      <c r="P714" s="10">
        <f>SUM(D714:O714)</f>
        <v>187.5</v>
      </c>
      <c r="Q714" s="9">
        <v>250</v>
      </c>
      <c r="AC714" s="10">
        <f>SUM(Q714:AB714)</f>
        <v>250</v>
      </c>
      <c r="AD714" s="9">
        <v>250</v>
      </c>
      <c r="AE714" s="9"/>
      <c r="AF714" s="9"/>
      <c r="AG714" s="9"/>
      <c r="AH714" s="9"/>
      <c r="AI714" s="9"/>
      <c r="AJ714" s="9"/>
      <c r="AK714" s="9"/>
      <c r="AL714" s="9"/>
      <c r="AM714" s="9"/>
      <c r="AN714" s="23"/>
      <c r="AO714" s="56"/>
      <c r="AP714" s="10">
        <f>SUM(AD714:AO714)</f>
        <v>250</v>
      </c>
    </row>
    <row r="715" spans="1:44" ht="13.5" thickBot="1" x14ac:dyDescent="0.35">
      <c r="C715" s="6" t="s">
        <v>9</v>
      </c>
      <c r="D715" s="10">
        <v>0</v>
      </c>
      <c r="E715" s="10">
        <v>0</v>
      </c>
      <c r="F715" s="10">
        <v>0</v>
      </c>
      <c r="G715" s="10">
        <f>12222.22+21008.29</f>
        <v>33230.51</v>
      </c>
      <c r="H715" s="10">
        <f>12222.22+21008.29</f>
        <v>33230.51</v>
      </c>
      <c r="I715" s="10">
        <f>12222.22+21008.28</f>
        <v>33230.5</v>
      </c>
      <c r="J715" s="10">
        <f>12222.22+21985.42</f>
        <v>34207.64</v>
      </c>
      <c r="K715" s="10">
        <f>12222.22+21985.42</f>
        <v>34207.64</v>
      </c>
      <c r="L715" s="10">
        <f>12222.22+21985.42</f>
        <v>34207.64</v>
      </c>
      <c r="M715" s="10">
        <f>12222.22+21985.42</f>
        <v>34207.64</v>
      </c>
      <c r="N715" s="10">
        <f>12222.22+21985.42</f>
        <v>34207.64</v>
      </c>
      <c r="O715" s="10">
        <f>12222.24+21985.4</f>
        <v>34207.64</v>
      </c>
      <c r="P715" s="10">
        <f>SUM(D715:O715)</f>
        <v>304937.36000000004</v>
      </c>
      <c r="Q715" s="9">
        <f>12500+21870.83</f>
        <v>34370.83</v>
      </c>
      <c r="R715" s="9">
        <f t="shared" ref="R715:AA715" si="452">12500+21870.83</f>
        <v>34370.83</v>
      </c>
      <c r="S715" s="9">
        <f t="shared" si="452"/>
        <v>34370.83</v>
      </c>
      <c r="T715" s="9">
        <f t="shared" si="452"/>
        <v>34370.83</v>
      </c>
      <c r="U715" s="9">
        <f t="shared" si="452"/>
        <v>34370.83</v>
      </c>
      <c r="V715" s="9">
        <f>12500+21870.85</f>
        <v>34370.85</v>
      </c>
      <c r="W715" s="9">
        <f t="shared" si="452"/>
        <v>34370.83</v>
      </c>
      <c r="X715" s="9">
        <f t="shared" si="452"/>
        <v>34370.83</v>
      </c>
      <c r="Y715" s="9">
        <f t="shared" si="452"/>
        <v>34370.83</v>
      </c>
      <c r="Z715" s="9">
        <f t="shared" si="452"/>
        <v>34370.83</v>
      </c>
      <c r="AA715" s="9">
        <f t="shared" si="452"/>
        <v>34370.83</v>
      </c>
      <c r="AB715" s="9">
        <f>12500+21870.85</f>
        <v>34370.85</v>
      </c>
      <c r="AC715" s="10">
        <f>SUM(Q715:AB715)</f>
        <v>412450.00000000006</v>
      </c>
      <c r="AD715" s="10">
        <f>12500+21600</f>
        <v>34100</v>
      </c>
      <c r="AE715" s="10">
        <f t="shared" ref="AE715:AO715" si="453">12500+21600</f>
        <v>34100</v>
      </c>
      <c r="AF715" s="10">
        <f t="shared" si="453"/>
        <v>34100</v>
      </c>
      <c r="AG715" s="10">
        <f t="shared" si="453"/>
        <v>34100</v>
      </c>
      <c r="AH715" s="10">
        <f t="shared" si="453"/>
        <v>34100</v>
      </c>
      <c r="AI715" s="10">
        <f t="shared" si="453"/>
        <v>34100</v>
      </c>
      <c r="AJ715" s="10">
        <f t="shared" si="453"/>
        <v>34100</v>
      </c>
      <c r="AK715" s="10">
        <f t="shared" si="453"/>
        <v>34100</v>
      </c>
      <c r="AL715" s="10">
        <f t="shared" si="453"/>
        <v>34100</v>
      </c>
      <c r="AM715" s="10">
        <f t="shared" si="453"/>
        <v>34100</v>
      </c>
      <c r="AN715" s="10">
        <f t="shared" si="453"/>
        <v>34100</v>
      </c>
      <c r="AO715" s="55">
        <f t="shared" si="453"/>
        <v>34100</v>
      </c>
      <c r="AP715" s="10">
        <f>SUM(AD715:AO715)</f>
        <v>409200</v>
      </c>
      <c r="AR715" s="33"/>
    </row>
    <row r="716" spans="1:44" ht="13.5" thickBot="1" x14ac:dyDescent="0.35">
      <c r="C716" s="11" t="s">
        <v>72</v>
      </c>
      <c r="D716" s="12">
        <f t="shared" ref="D716:AB716" si="454">SUM(D713:D715)</f>
        <v>0</v>
      </c>
      <c r="E716" s="12">
        <f t="shared" si="454"/>
        <v>0</v>
      </c>
      <c r="F716" s="12">
        <f t="shared" si="454"/>
        <v>0</v>
      </c>
      <c r="G716" s="12">
        <f t="shared" si="454"/>
        <v>34052.590000000004</v>
      </c>
      <c r="H716" s="12">
        <f t="shared" si="454"/>
        <v>33865.090000000004</v>
      </c>
      <c r="I716" s="12">
        <f t="shared" si="454"/>
        <v>33865.08</v>
      </c>
      <c r="J716" s="12">
        <f t="shared" si="454"/>
        <v>34842.22</v>
      </c>
      <c r="K716" s="12">
        <f t="shared" si="454"/>
        <v>34842.22</v>
      </c>
      <c r="L716" s="12">
        <f t="shared" si="454"/>
        <v>34842.22</v>
      </c>
      <c r="M716" s="12">
        <f t="shared" si="454"/>
        <v>34842.22</v>
      </c>
      <c r="N716" s="12">
        <f t="shared" si="454"/>
        <v>34842.22</v>
      </c>
      <c r="O716" s="12">
        <f t="shared" si="454"/>
        <v>34842.22</v>
      </c>
      <c r="P716" s="12">
        <f t="shared" si="454"/>
        <v>310836.08</v>
      </c>
      <c r="Q716" s="12">
        <f t="shared" si="454"/>
        <v>35255.410000000003</v>
      </c>
      <c r="R716" s="12">
        <f t="shared" si="454"/>
        <v>35005.410000000003</v>
      </c>
      <c r="S716" s="12">
        <f t="shared" si="454"/>
        <v>35005.410000000003</v>
      </c>
      <c r="T716" s="12">
        <f t="shared" si="454"/>
        <v>34996.25</v>
      </c>
      <c r="U716" s="12">
        <f t="shared" si="454"/>
        <v>34996.25</v>
      </c>
      <c r="V716" s="12">
        <f t="shared" si="454"/>
        <v>34996.269999999997</v>
      </c>
      <c r="W716" s="12">
        <f t="shared" si="454"/>
        <v>34996.25</v>
      </c>
      <c r="X716" s="12">
        <f t="shared" si="454"/>
        <v>34996.25</v>
      </c>
      <c r="Y716" s="12">
        <f t="shared" si="454"/>
        <v>34996.25</v>
      </c>
      <c r="Z716" s="12">
        <f t="shared" si="454"/>
        <v>34996.25</v>
      </c>
      <c r="AA716" s="12">
        <f t="shared" si="454"/>
        <v>34996.25</v>
      </c>
      <c r="AB716" s="12">
        <f t="shared" si="454"/>
        <v>34996.269999999997</v>
      </c>
      <c r="AC716" s="12">
        <f>SUM(AC713:AC715)</f>
        <v>420232.52000000008</v>
      </c>
      <c r="AD716" s="12">
        <f>SUM(AD713:AD715)</f>
        <v>34975.42</v>
      </c>
      <c r="AE716" s="12">
        <f>SUM(AE713:AE715)</f>
        <v>34725.42</v>
      </c>
      <c r="AF716" s="12">
        <f t="shared" ref="AF716:AO716" si="455">SUM(AF713:AF715)</f>
        <v>34725.42</v>
      </c>
      <c r="AG716" s="12">
        <f t="shared" si="455"/>
        <v>34712.92</v>
      </c>
      <c r="AH716" s="12">
        <f t="shared" si="455"/>
        <v>34712.92</v>
      </c>
      <c r="AI716" s="12">
        <f t="shared" si="455"/>
        <v>34712.92</v>
      </c>
      <c r="AJ716" s="12">
        <f t="shared" si="455"/>
        <v>34712.92</v>
      </c>
      <c r="AK716" s="12">
        <f t="shared" si="455"/>
        <v>34712.92</v>
      </c>
      <c r="AL716" s="12">
        <f t="shared" si="455"/>
        <v>34712.92</v>
      </c>
      <c r="AM716" s="12">
        <f t="shared" si="455"/>
        <v>34712.92</v>
      </c>
      <c r="AN716" s="12">
        <f t="shared" si="455"/>
        <v>34712.92</v>
      </c>
      <c r="AO716" s="57">
        <f t="shared" si="455"/>
        <v>34712.92</v>
      </c>
      <c r="AP716" s="12">
        <f>SUM(AP713:AP715)</f>
        <v>416842.54</v>
      </c>
    </row>
    <row r="717" spans="1:44" x14ac:dyDescent="0.3">
      <c r="C717" s="13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</row>
    <row r="718" spans="1:44" ht="15.5" x14ac:dyDescent="0.35">
      <c r="A718" s="18">
        <f>+A712+1</f>
        <v>89</v>
      </c>
      <c r="C718" s="22" t="s">
        <v>233</v>
      </c>
    </row>
    <row r="719" spans="1:44" x14ac:dyDescent="0.3">
      <c r="C719" s="6" t="s">
        <v>7</v>
      </c>
      <c r="D719" s="10">
        <v>0</v>
      </c>
      <c r="E719" s="10">
        <v>0</v>
      </c>
      <c r="F719" s="10">
        <v>0</v>
      </c>
      <c r="G719" s="10">
        <v>0</v>
      </c>
      <c r="H719" s="10">
        <v>2665</v>
      </c>
      <c r="I719" s="10">
        <v>2665</v>
      </c>
      <c r="J719" s="10">
        <v>2665</v>
      </c>
      <c r="K719" s="10">
        <v>2665</v>
      </c>
      <c r="L719" s="10">
        <v>2665</v>
      </c>
      <c r="M719" s="10">
        <v>2665</v>
      </c>
      <c r="N719" s="10">
        <v>2665</v>
      </c>
      <c r="O719" s="10">
        <v>2665</v>
      </c>
      <c r="P719" s="10">
        <f>SUM(D719:O719)</f>
        <v>21320</v>
      </c>
      <c r="Q719" s="10">
        <v>2665</v>
      </c>
      <c r="R719" s="10">
        <v>2665</v>
      </c>
      <c r="S719" s="10">
        <v>2665</v>
      </c>
      <c r="T719" s="10">
        <v>2436.67</v>
      </c>
      <c r="U719" s="10">
        <v>2436.67</v>
      </c>
      <c r="V719" s="10">
        <v>2436.67</v>
      </c>
      <c r="W719" s="10">
        <v>2436.67</v>
      </c>
      <c r="X719" s="10">
        <v>2436.67</v>
      </c>
      <c r="Y719" s="10">
        <v>2436.67</v>
      </c>
      <c r="Z719" s="10">
        <v>2436.67</v>
      </c>
      <c r="AA719" s="10">
        <v>2436.67</v>
      </c>
      <c r="AB719" s="10">
        <v>2436.67</v>
      </c>
      <c r="AC719" s="10">
        <f>SUM(Q719:AB719)</f>
        <v>29925.029999999992</v>
      </c>
      <c r="AD719" s="10">
        <v>2436.67</v>
      </c>
      <c r="AE719" s="10">
        <v>2436.67</v>
      </c>
      <c r="AF719" s="10">
        <v>2436.67</v>
      </c>
      <c r="AG719" s="10">
        <v>2372.08</v>
      </c>
      <c r="AH719" s="10">
        <v>2372.08</v>
      </c>
      <c r="AI719" s="10">
        <v>2372.08</v>
      </c>
      <c r="AJ719" s="10">
        <v>2372.08</v>
      </c>
      <c r="AK719" s="10">
        <v>2372.08</v>
      </c>
      <c r="AL719" s="10">
        <v>2372.08</v>
      </c>
      <c r="AM719" s="10">
        <v>2372.08</v>
      </c>
      <c r="AN719" s="10">
        <v>2372.08</v>
      </c>
      <c r="AO719" s="55">
        <v>2372.08</v>
      </c>
      <c r="AP719" s="10">
        <f>SUM(AD719:AO719)</f>
        <v>28658.73000000001</v>
      </c>
    </row>
    <row r="720" spans="1:44" x14ac:dyDescent="0.3">
      <c r="C720" s="6" t="s">
        <v>8</v>
      </c>
      <c r="D720" s="9"/>
      <c r="E720" s="9"/>
      <c r="H720" s="9">
        <v>166.67</v>
      </c>
      <c r="P720" s="10">
        <f>SUM(D720:O720)</f>
        <v>166.67</v>
      </c>
      <c r="Q720" s="9">
        <v>250</v>
      </c>
      <c r="AC720" s="10">
        <f>SUM(Q720:AB720)</f>
        <v>250</v>
      </c>
      <c r="AD720" s="9">
        <v>250</v>
      </c>
      <c r="AE720" s="9"/>
      <c r="AF720" s="9"/>
      <c r="AG720" s="9"/>
      <c r="AH720" s="9"/>
      <c r="AI720" s="9"/>
      <c r="AJ720" s="9"/>
      <c r="AK720" s="9"/>
      <c r="AL720" s="9"/>
      <c r="AM720" s="9"/>
      <c r="AN720" s="23"/>
      <c r="AO720" s="56"/>
      <c r="AP720" s="10">
        <f>SUM(AD720:AO720)</f>
        <v>250</v>
      </c>
    </row>
    <row r="721" spans="1:44" ht="13.5" thickBot="1" x14ac:dyDescent="0.35">
      <c r="C721" s="6" t="s">
        <v>9</v>
      </c>
      <c r="D721" s="10">
        <v>0</v>
      </c>
      <c r="E721" s="10">
        <v>0</v>
      </c>
      <c r="F721" s="10">
        <v>0</v>
      </c>
      <c r="G721" s="10">
        <v>0</v>
      </c>
      <c r="H721" s="10">
        <f>75000+189274.05</f>
        <v>264274.05</v>
      </c>
      <c r="I721" s="10">
        <f>64583.33+80951.88</f>
        <v>145535.21000000002</v>
      </c>
      <c r="J721" s="10">
        <f t="shared" ref="J721:U721" si="456">64583.33+80951.88</f>
        <v>145535.21000000002</v>
      </c>
      <c r="K721" s="10">
        <f t="shared" si="456"/>
        <v>145535.21000000002</v>
      </c>
      <c r="L721" s="10">
        <f t="shared" si="456"/>
        <v>145535.21000000002</v>
      </c>
      <c r="M721" s="10">
        <f t="shared" si="456"/>
        <v>145535.21000000002</v>
      </c>
      <c r="N721" s="10">
        <f t="shared" si="456"/>
        <v>145535.21000000002</v>
      </c>
      <c r="O721" s="10">
        <f t="shared" si="456"/>
        <v>145535.21000000002</v>
      </c>
      <c r="P721" s="10">
        <f>SUM(D721:O721)</f>
        <v>1283020.5199999998</v>
      </c>
      <c r="Q721" s="10">
        <f t="shared" si="456"/>
        <v>145535.21000000002</v>
      </c>
      <c r="R721" s="10">
        <f t="shared" si="456"/>
        <v>145535.21000000002</v>
      </c>
      <c r="S721" s="10">
        <f t="shared" si="456"/>
        <v>145535.21000000002</v>
      </c>
      <c r="T721" s="10">
        <f t="shared" si="456"/>
        <v>145535.21000000002</v>
      </c>
      <c r="U721" s="10">
        <f t="shared" si="456"/>
        <v>145535.21000000002</v>
      </c>
      <c r="V721" s="10">
        <f>66666.67+78965.24</f>
        <v>145631.91</v>
      </c>
      <c r="W721" s="10">
        <f t="shared" ref="W721:AH721" si="457">66666.67+78965.24</f>
        <v>145631.91</v>
      </c>
      <c r="X721" s="10">
        <f t="shared" si="457"/>
        <v>145631.91</v>
      </c>
      <c r="Y721" s="10">
        <f t="shared" si="457"/>
        <v>145631.91</v>
      </c>
      <c r="Z721" s="10">
        <f t="shared" si="457"/>
        <v>145631.91</v>
      </c>
      <c r="AA721" s="10">
        <f t="shared" si="457"/>
        <v>145631.91</v>
      </c>
      <c r="AB721" s="10">
        <f t="shared" si="457"/>
        <v>145631.91</v>
      </c>
      <c r="AC721" s="10">
        <f>SUM(Q721:AB721)</f>
        <v>1747099.4199999997</v>
      </c>
      <c r="AD721" s="10">
        <f t="shared" si="457"/>
        <v>145631.91</v>
      </c>
      <c r="AE721" s="10">
        <f t="shared" si="457"/>
        <v>145631.91</v>
      </c>
      <c r="AF721" s="10">
        <f t="shared" si="457"/>
        <v>145631.91</v>
      </c>
      <c r="AG721" s="10">
        <f t="shared" si="457"/>
        <v>145631.91</v>
      </c>
      <c r="AH721" s="10">
        <f t="shared" si="457"/>
        <v>145631.91</v>
      </c>
      <c r="AI721" s="10">
        <f>68750+76912.16</f>
        <v>145662.16</v>
      </c>
      <c r="AJ721" s="10">
        <f t="shared" ref="AJ721:AO721" si="458">68750+76912.16</f>
        <v>145662.16</v>
      </c>
      <c r="AK721" s="10">
        <f t="shared" si="458"/>
        <v>145662.16</v>
      </c>
      <c r="AL721" s="10">
        <f t="shared" si="458"/>
        <v>145662.16</v>
      </c>
      <c r="AM721" s="10">
        <f t="shared" si="458"/>
        <v>145662.16</v>
      </c>
      <c r="AN721" s="10">
        <f t="shared" si="458"/>
        <v>145662.16</v>
      </c>
      <c r="AO721" s="55">
        <f t="shared" si="458"/>
        <v>145662.16</v>
      </c>
      <c r="AP721" s="10">
        <f>SUM(AD721:AO721)</f>
        <v>1747794.6699999997</v>
      </c>
      <c r="AR721" s="33"/>
    </row>
    <row r="722" spans="1:44" ht="13.5" thickBot="1" x14ac:dyDescent="0.35">
      <c r="C722" s="11" t="s">
        <v>91</v>
      </c>
      <c r="D722" s="12">
        <f t="shared" ref="D722:AB722" si="459">SUM(D719:D721)</f>
        <v>0</v>
      </c>
      <c r="E722" s="12">
        <f t="shared" si="459"/>
        <v>0</v>
      </c>
      <c r="F722" s="12">
        <f t="shared" si="459"/>
        <v>0</v>
      </c>
      <c r="G722" s="12">
        <f t="shared" si="459"/>
        <v>0</v>
      </c>
      <c r="H722" s="12">
        <f t="shared" si="459"/>
        <v>267105.71999999997</v>
      </c>
      <c r="I722" s="12">
        <f t="shared" si="459"/>
        <v>148200.21000000002</v>
      </c>
      <c r="J722" s="12">
        <f t="shared" si="459"/>
        <v>148200.21000000002</v>
      </c>
      <c r="K722" s="12">
        <f t="shared" si="459"/>
        <v>148200.21000000002</v>
      </c>
      <c r="L722" s="12">
        <f t="shared" si="459"/>
        <v>148200.21000000002</v>
      </c>
      <c r="M722" s="12">
        <f t="shared" si="459"/>
        <v>148200.21000000002</v>
      </c>
      <c r="N722" s="12">
        <f t="shared" si="459"/>
        <v>148200.21000000002</v>
      </c>
      <c r="O722" s="12">
        <f t="shared" si="459"/>
        <v>148200.21000000002</v>
      </c>
      <c r="P722" s="12">
        <f t="shared" si="459"/>
        <v>1304507.1899999997</v>
      </c>
      <c r="Q722" s="12">
        <f t="shared" si="459"/>
        <v>148450.21000000002</v>
      </c>
      <c r="R722" s="12">
        <f t="shared" si="459"/>
        <v>148200.21000000002</v>
      </c>
      <c r="S722" s="12">
        <f t="shared" si="459"/>
        <v>148200.21000000002</v>
      </c>
      <c r="T722" s="12">
        <f t="shared" si="459"/>
        <v>147971.88000000003</v>
      </c>
      <c r="U722" s="12">
        <f t="shared" si="459"/>
        <v>147971.88000000003</v>
      </c>
      <c r="V722" s="12">
        <f t="shared" si="459"/>
        <v>148068.58000000002</v>
      </c>
      <c r="W722" s="12">
        <f t="shared" si="459"/>
        <v>148068.58000000002</v>
      </c>
      <c r="X722" s="12">
        <f t="shared" si="459"/>
        <v>148068.58000000002</v>
      </c>
      <c r="Y722" s="12">
        <f t="shared" si="459"/>
        <v>148068.58000000002</v>
      </c>
      <c r="Z722" s="12">
        <f t="shared" si="459"/>
        <v>148068.58000000002</v>
      </c>
      <c r="AA722" s="12">
        <f t="shared" si="459"/>
        <v>148068.58000000002</v>
      </c>
      <c r="AB722" s="12">
        <f t="shared" si="459"/>
        <v>148068.58000000002</v>
      </c>
      <c r="AC722" s="12">
        <f>SUM(AC719:AC721)</f>
        <v>1777274.4499999997</v>
      </c>
      <c r="AD722" s="12">
        <f>SUM(AD719:AD721)</f>
        <v>148318.58000000002</v>
      </c>
      <c r="AE722" s="12">
        <f>SUM(AE719:AE721)</f>
        <v>148068.58000000002</v>
      </c>
      <c r="AF722" s="12">
        <f t="shared" ref="AF722:AO722" si="460">SUM(AF719:AF721)</f>
        <v>148068.58000000002</v>
      </c>
      <c r="AG722" s="12">
        <f t="shared" si="460"/>
        <v>148003.99</v>
      </c>
      <c r="AH722" s="12">
        <f t="shared" si="460"/>
        <v>148003.99</v>
      </c>
      <c r="AI722" s="12">
        <f t="shared" si="460"/>
        <v>148034.23999999999</v>
      </c>
      <c r="AJ722" s="12">
        <f t="shared" si="460"/>
        <v>148034.23999999999</v>
      </c>
      <c r="AK722" s="12">
        <f t="shared" si="460"/>
        <v>148034.23999999999</v>
      </c>
      <c r="AL722" s="12">
        <f t="shared" si="460"/>
        <v>148034.23999999999</v>
      </c>
      <c r="AM722" s="12">
        <f t="shared" si="460"/>
        <v>148034.23999999999</v>
      </c>
      <c r="AN722" s="12">
        <f t="shared" si="460"/>
        <v>148034.23999999999</v>
      </c>
      <c r="AO722" s="57">
        <f t="shared" si="460"/>
        <v>148034.23999999999</v>
      </c>
      <c r="AP722" s="12">
        <f>SUM(AP719:AP721)</f>
        <v>1776703.3999999997</v>
      </c>
    </row>
    <row r="723" spans="1:44" x14ac:dyDescent="0.3">
      <c r="C723" s="13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</row>
    <row r="724" spans="1:44" ht="15.5" x14ac:dyDescent="0.35">
      <c r="A724" s="18">
        <f>+A718+1</f>
        <v>90</v>
      </c>
      <c r="C724" s="22" t="s">
        <v>234</v>
      </c>
    </row>
    <row r="725" spans="1:44" x14ac:dyDescent="0.3">
      <c r="C725" s="6" t="s">
        <v>7</v>
      </c>
      <c r="D725" s="10">
        <v>0</v>
      </c>
      <c r="E725" s="10">
        <v>0</v>
      </c>
      <c r="F725" s="10">
        <v>0</v>
      </c>
      <c r="G725" s="10">
        <v>0</v>
      </c>
      <c r="H725" s="10">
        <v>1491.5</v>
      </c>
      <c r="I725" s="10">
        <v>1491.5</v>
      </c>
      <c r="J725" s="10">
        <v>1491.5</v>
      </c>
      <c r="K725" s="10">
        <v>1491.5</v>
      </c>
      <c r="L725" s="10">
        <v>1491.5</v>
      </c>
      <c r="M725" s="10">
        <v>1491.5</v>
      </c>
      <c r="N725" s="10">
        <v>1491.5</v>
      </c>
      <c r="O725" s="10">
        <v>1491.5</v>
      </c>
      <c r="P725" s="10">
        <f>SUM(D725:O725)</f>
        <v>11932</v>
      </c>
      <c r="Q725" s="10">
        <v>1491.5</v>
      </c>
      <c r="R725" s="10">
        <v>1491.5</v>
      </c>
      <c r="S725" s="10">
        <v>1211.25</v>
      </c>
      <c r="T725" s="10">
        <v>1211.25</v>
      </c>
      <c r="U725" s="10">
        <v>1211.25</v>
      </c>
      <c r="V725" s="10">
        <v>1211.25</v>
      </c>
      <c r="W725" s="10">
        <v>1211.25</v>
      </c>
      <c r="X725" s="10">
        <v>1211.25</v>
      </c>
      <c r="Y725" s="10">
        <v>1211.25</v>
      </c>
      <c r="Z725" s="10">
        <v>1211.25</v>
      </c>
      <c r="AA725" s="10">
        <v>1211.25</v>
      </c>
      <c r="AB725" s="10">
        <v>1211.25</v>
      </c>
      <c r="AC725" s="10">
        <f>SUM(Q725:AB725)</f>
        <v>15095.5</v>
      </c>
      <c r="AD725" s="10">
        <v>1211.25</v>
      </c>
      <c r="AE725" s="10">
        <v>1211.25</v>
      </c>
      <c r="AF725" s="10">
        <v>1178.3399999999999</v>
      </c>
      <c r="AG725" s="10">
        <v>1178.3399999999999</v>
      </c>
      <c r="AH725" s="10">
        <v>1178.3399999999999</v>
      </c>
      <c r="AI725" s="10">
        <v>1178.3399999999999</v>
      </c>
      <c r="AJ725" s="10">
        <v>1178.3399999999999</v>
      </c>
      <c r="AK725" s="10">
        <v>1178.3399999999999</v>
      </c>
      <c r="AL725" s="10">
        <v>1178.3399999999999</v>
      </c>
      <c r="AM725" s="10">
        <v>1178.3399999999999</v>
      </c>
      <c r="AN725" s="10">
        <v>1178.3399999999999</v>
      </c>
      <c r="AO725" s="55">
        <v>1178.3399999999999</v>
      </c>
      <c r="AP725" s="10">
        <f>SUM(AD725:AO725)</f>
        <v>14205.900000000001</v>
      </c>
    </row>
    <row r="726" spans="1:44" x14ac:dyDescent="0.3">
      <c r="C726" s="6" t="s">
        <v>8</v>
      </c>
      <c r="D726" s="9"/>
      <c r="E726" s="9"/>
      <c r="H726" s="9">
        <v>166.67</v>
      </c>
      <c r="P726" s="10">
        <f>SUM(D726:O726)</f>
        <v>166.67</v>
      </c>
      <c r="Q726" s="9">
        <v>250</v>
      </c>
      <c r="AC726" s="10">
        <f>SUM(Q726:AB726)</f>
        <v>250</v>
      </c>
      <c r="AD726" s="9">
        <v>250</v>
      </c>
      <c r="AE726" s="9"/>
      <c r="AF726" s="9"/>
      <c r="AG726" s="9"/>
      <c r="AH726" s="9"/>
      <c r="AI726" s="9"/>
      <c r="AJ726" s="9"/>
      <c r="AK726" s="9"/>
      <c r="AL726" s="9"/>
      <c r="AM726" s="9"/>
      <c r="AN726" s="23"/>
      <c r="AO726" s="56"/>
      <c r="AP726" s="10">
        <f>SUM(AD726:AO726)</f>
        <v>250</v>
      </c>
    </row>
    <row r="727" spans="1:44" ht="13.5" thickBot="1" x14ac:dyDescent="0.35">
      <c r="C727" s="6" t="s">
        <v>9</v>
      </c>
      <c r="D727" s="10">
        <v>0</v>
      </c>
      <c r="E727" s="10">
        <v>0</v>
      </c>
      <c r="F727" s="10">
        <v>0</v>
      </c>
      <c r="G727" s="10">
        <v>0</v>
      </c>
      <c r="H727" s="10">
        <f>36500+61968.89</f>
        <v>98468.89</v>
      </c>
      <c r="I727" s="10">
        <f>36500+61968.89</f>
        <v>98468.89</v>
      </c>
      <c r="J727" s="10">
        <f>36500+61968.89</f>
        <v>98468.89</v>
      </c>
      <c r="K727" s="10">
        <f>36500+61968.89</f>
        <v>98468.89</v>
      </c>
      <c r="L727" s="10">
        <f>36500+50933.34</f>
        <v>87433.34</v>
      </c>
      <c r="M727" s="10">
        <f>36500+50933.34</f>
        <v>87433.34</v>
      </c>
      <c r="N727" s="10">
        <f>36500+50933.34</f>
        <v>87433.34</v>
      </c>
      <c r="O727" s="10">
        <f>36500+50933.34</f>
        <v>87433.34</v>
      </c>
      <c r="P727" s="10">
        <f>SUM(D727:O727)</f>
        <v>743608.91999999993</v>
      </c>
      <c r="Q727" s="10">
        <f>36500+50933.34</f>
        <v>87433.34</v>
      </c>
      <c r="R727" s="10">
        <f>36500+50933.3</f>
        <v>87433.3</v>
      </c>
      <c r="S727" s="9">
        <f>31666.67+49716.67</f>
        <v>81383.34</v>
      </c>
      <c r="T727" s="9">
        <f t="shared" ref="T727:AD727" si="461">31666.67+49716.67</f>
        <v>81383.34</v>
      </c>
      <c r="U727" s="9">
        <f t="shared" si="461"/>
        <v>81383.34</v>
      </c>
      <c r="V727" s="9">
        <f t="shared" si="461"/>
        <v>81383.34</v>
      </c>
      <c r="W727" s="9">
        <f t="shared" si="461"/>
        <v>81383.34</v>
      </c>
      <c r="X727" s="9">
        <f t="shared" si="461"/>
        <v>81383.34</v>
      </c>
      <c r="Y727" s="9">
        <f t="shared" si="461"/>
        <v>81383.34</v>
      </c>
      <c r="Z727" s="9">
        <f t="shared" si="461"/>
        <v>81383.34</v>
      </c>
      <c r="AA727" s="9">
        <f t="shared" si="461"/>
        <v>81383.34</v>
      </c>
      <c r="AB727" s="9">
        <f t="shared" si="461"/>
        <v>81383.34</v>
      </c>
      <c r="AC727" s="10">
        <f>SUM(Q727:AB727)</f>
        <v>988700.0399999998</v>
      </c>
      <c r="AD727" s="9">
        <f t="shared" si="461"/>
        <v>81383.34</v>
      </c>
      <c r="AE727" s="9">
        <f>31666.63+49716.63</f>
        <v>81383.259999999995</v>
      </c>
      <c r="AF727" s="10">
        <f>32916.67+48450</f>
        <v>81366.67</v>
      </c>
      <c r="AG727" s="10">
        <f t="shared" ref="AG727:AO727" si="462">32916.67+48450</f>
        <v>81366.67</v>
      </c>
      <c r="AH727" s="10">
        <f t="shared" si="462"/>
        <v>81366.67</v>
      </c>
      <c r="AI727" s="10">
        <f t="shared" si="462"/>
        <v>81366.67</v>
      </c>
      <c r="AJ727" s="10">
        <f t="shared" si="462"/>
        <v>81366.67</v>
      </c>
      <c r="AK727" s="10">
        <f t="shared" si="462"/>
        <v>81366.67</v>
      </c>
      <c r="AL727" s="10">
        <f t="shared" si="462"/>
        <v>81366.67</v>
      </c>
      <c r="AM727" s="10">
        <f t="shared" si="462"/>
        <v>81366.67</v>
      </c>
      <c r="AN727" s="10">
        <f t="shared" si="462"/>
        <v>81366.67</v>
      </c>
      <c r="AO727" s="55">
        <f t="shared" si="462"/>
        <v>81366.67</v>
      </c>
      <c r="AP727" s="10">
        <f>SUM(AD727:AO727)</f>
        <v>976433.30000000016</v>
      </c>
      <c r="AR727" s="33"/>
    </row>
    <row r="728" spans="1:44" ht="13.5" thickBot="1" x14ac:dyDescent="0.35">
      <c r="C728" s="11" t="s">
        <v>89</v>
      </c>
      <c r="D728" s="12">
        <f t="shared" ref="D728:AB728" si="463">SUM(D725:D727)</f>
        <v>0</v>
      </c>
      <c r="E728" s="12">
        <f t="shared" si="463"/>
        <v>0</v>
      </c>
      <c r="F728" s="12">
        <f t="shared" si="463"/>
        <v>0</v>
      </c>
      <c r="G728" s="12">
        <f t="shared" si="463"/>
        <v>0</v>
      </c>
      <c r="H728" s="12">
        <f t="shared" si="463"/>
        <v>100127.06</v>
      </c>
      <c r="I728" s="12">
        <f t="shared" si="463"/>
        <v>99960.39</v>
      </c>
      <c r="J728" s="12">
        <f t="shared" si="463"/>
        <v>99960.39</v>
      </c>
      <c r="K728" s="12">
        <f t="shared" si="463"/>
        <v>99960.39</v>
      </c>
      <c r="L728" s="12">
        <f t="shared" si="463"/>
        <v>88924.84</v>
      </c>
      <c r="M728" s="12">
        <f t="shared" si="463"/>
        <v>88924.84</v>
      </c>
      <c r="N728" s="12">
        <f t="shared" si="463"/>
        <v>88924.84</v>
      </c>
      <c r="O728" s="12">
        <f t="shared" si="463"/>
        <v>88924.84</v>
      </c>
      <c r="P728" s="12">
        <f t="shared" si="463"/>
        <v>755707.59</v>
      </c>
      <c r="Q728" s="12">
        <f t="shared" si="463"/>
        <v>89174.84</v>
      </c>
      <c r="R728" s="12">
        <f t="shared" si="463"/>
        <v>88924.800000000003</v>
      </c>
      <c r="S728" s="12">
        <f t="shared" si="463"/>
        <v>82594.59</v>
      </c>
      <c r="T728" s="12">
        <f t="shared" si="463"/>
        <v>82594.59</v>
      </c>
      <c r="U728" s="12">
        <f t="shared" si="463"/>
        <v>82594.59</v>
      </c>
      <c r="V728" s="12">
        <f t="shared" si="463"/>
        <v>82594.59</v>
      </c>
      <c r="W728" s="12">
        <f t="shared" si="463"/>
        <v>82594.59</v>
      </c>
      <c r="X728" s="12">
        <f t="shared" si="463"/>
        <v>82594.59</v>
      </c>
      <c r="Y728" s="12">
        <f t="shared" si="463"/>
        <v>82594.59</v>
      </c>
      <c r="Z728" s="12">
        <f t="shared" si="463"/>
        <v>82594.59</v>
      </c>
      <c r="AA728" s="12">
        <f t="shared" si="463"/>
        <v>82594.59</v>
      </c>
      <c r="AB728" s="12">
        <f t="shared" si="463"/>
        <v>82594.59</v>
      </c>
      <c r="AC728" s="12">
        <f>SUM(AC725:AC727)</f>
        <v>1004045.5399999998</v>
      </c>
      <c r="AD728" s="12">
        <f>SUM(AD725:AD727)</f>
        <v>82844.59</v>
      </c>
      <c r="AE728" s="12">
        <f>SUM(AE725:AE727)</f>
        <v>82594.509999999995</v>
      </c>
      <c r="AF728" s="12">
        <f t="shared" ref="AF728:AO728" si="464">SUM(AF725:AF727)</f>
        <v>82545.009999999995</v>
      </c>
      <c r="AG728" s="12">
        <f t="shared" si="464"/>
        <v>82545.009999999995</v>
      </c>
      <c r="AH728" s="12">
        <f t="shared" si="464"/>
        <v>82545.009999999995</v>
      </c>
      <c r="AI728" s="12">
        <f t="shared" si="464"/>
        <v>82545.009999999995</v>
      </c>
      <c r="AJ728" s="12">
        <f t="shared" si="464"/>
        <v>82545.009999999995</v>
      </c>
      <c r="AK728" s="12">
        <f t="shared" si="464"/>
        <v>82545.009999999995</v>
      </c>
      <c r="AL728" s="12">
        <f t="shared" si="464"/>
        <v>82545.009999999995</v>
      </c>
      <c r="AM728" s="12">
        <f t="shared" si="464"/>
        <v>82545.009999999995</v>
      </c>
      <c r="AN728" s="12">
        <f t="shared" si="464"/>
        <v>82545.009999999995</v>
      </c>
      <c r="AO728" s="57">
        <f t="shared" si="464"/>
        <v>82545.009999999995</v>
      </c>
      <c r="AP728" s="12">
        <f>SUM(AP725:AP727)</f>
        <v>990889.20000000019</v>
      </c>
    </row>
    <row r="729" spans="1:44" x14ac:dyDescent="0.3">
      <c r="C729" s="13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</row>
    <row r="730" spans="1:44" ht="15.5" x14ac:dyDescent="0.35">
      <c r="A730" s="18">
        <f>+A724+1</f>
        <v>91</v>
      </c>
      <c r="C730" s="22" t="s">
        <v>235</v>
      </c>
    </row>
    <row r="731" spans="1:44" x14ac:dyDescent="0.3">
      <c r="C731" s="6" t="s">
        <v>7</v>
      </c>
      <c r="D731" s="10">
        <v>0</v>
      </c>
      <c r="E731" s="10">
        <v>0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f>SUM(D731:O731)</f>
        <v>0</v>
      </c>
      <c r="Q731" s="10">
        <v>0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0</v>
      </c>
      <c r="AC731" s="10">
        <f>SUM(Q731:AB731)</f>
        <v>0</v>
      </c>
      <c r="AD731" s="10">
        <v>0</v>
      </c>
      <c r="AE731" s="10">
        <v>0</v>
      </c>
      <c r="AF731" s="10">
        <v>0</v>
      </c>
      <c r="AG731" s="10">
        <v>0</v>
      </c>
      <c r="AH731" s="10">
        <v>0</v>
      </c>
      <c r="AI731" s="10">
        <v>0</v>
      </c>
      <c r="AJ731" s="10">
        <v>0</v>
      </c>
      <c r="AK731" s="10">
        <v>0</v>
      </c>
      <c r="AL731" s="10">
        <v>0</v>
      </c>
      <c r="AM731" s="10">
        <v>0</v>
      </c>
      <c r="AN731" s="10">
        <v>0</v>
      </c>
      <c r="AO731" s="55">
        <v>0</v>
      </c>
      <c r="AP731" s="10">
        <f>SUM(AD731:AO731)</f>
        <v>0</v>
      </c>
    </row>
    <row r="732" spans="1:44" x14ac:dyDescent="0.3">
      <c r="C732" s="6" t="s">
        <v>8</v>
      </c>
      <c r="D732" s="9"/>
      <c r="E732" s="9"/>
      <c r="H732" s="9">
        <v>166.67</v>
      </c>
      <c r="P732" s="10">
        <f>SUM(D732:O732)</f>
        <v>166.67</v>
      </c>
      <c r="Q732" s="9">
        <v>250</v>
      </c>
      <c r="AC732" s="10">
        <f>SUM(Q732:AB732)</f>
        <v>250</v>
      </c>
      <c r="AD732" s="9">
        <v>250</v>
      </c>
      <c r="AE732" s="9"/>
      <c r="AF732" s="9"/>
      <c r="AG732" s="9"/>
      <c r="AH732" s="9"/>
      <c r="AI732" s="9"/>
      <c r="AJ732" s="9"/>
      <c r="AK732" s="9"/>
      <c r="AL732" s="9"/>
      <c r="AM732" s="9"/>
      <c r="AN732" s="23"/>
      <c r="AO732" s="56"/>
      <c r="AP732" s="10">
        <f>SUM(AD732:AO732)</f>
        <v>250</v>
      </c>
    </row>
    <row r="733" spans="1:44" ht="13.5" thickBot="1" x14ac:dyDescent="0.35">
      <c r="C733" s="6" t="s">
        <v>9</v>
      </c>
      <c r="D733" s="10">
        <v>0</v>
      </c>
      <c r="E733" s="10">
        <v>0</v>
      </c>
      <c r="F733" s="10">
        <v>0</v>
      </c>
      <c r="G733" s="10">
        <v>0</v>
      </c>
      <c r="H733" s="10">
        <v>46662.78</v>
      </c>
      <c r="I733" s="10">
        <v>46662.78</v>
      </c>
      <c r="J733" s="10">
        <v>46662.78</v>
      </c>
      <c r="K733" s="10">
        <v>46662.78</v>
      </c>
      <c r="L733" s="10">
        <v>46662.77</v>
      </c>
      <c r="M733" s="10">
        <v>41416.660000000003</v>
      </c>
      <c r="N733" s="10">
        <v>41416.660000000003</v>
      </c>
      <c r="O733" s="10">
        <v>41416.660000000003</v>
      </c>
      <c r="P733" s="10">
        <f>SUM(D733:O733)</f>
        <v>357563.87</v>
      </c>
      <c r="Q733" s="10">
        <v>41416.660000000003</v>
      </c>
      <c r="R733" s="10">
        <v>41416.660000000003</v>
      </c>
      <c r="S733" s="10">
        <v>41416.699999999997</v>
      </c>
      <c r="T733" s="10">
        <f>2083.34+41416.66</f>
        <v>43500</v>
      </c>
      <c r="U733" s="10">
        <f t="shared" ref="U733:AE733" si="465">2083.34+41416.66</f>
        <v>43500</v>
      </c>
      <c r="V733" s="10">
        <f t="shared" si="465"/>
        <v>43500</v>
      </c>
      <c r="W733" s="10">
        <f t="shared" si="465"/>
        <v>43500</v>
      </c>
      <c r="X733" s="10">
        <f t="shared" si="465"/>
        <v>43500</v>
      </c>
      <c r="Y733" s="10">
        <f>2083.34+41416.7</f>
        <v>43500.039999999994</v>
      </c>
      <c r="Z733" s="10">
        <f t="shared" si="465"/>
        <v>43500</v>
      </c>
      <c r="AA733" s="10">
        <f t="shared" si="465"/>
        <v>43500</v>
      </c>
      <c r="AB733" s="10">
        <f t="shared" si="465"/>
        <v>43500</v>
      </c>
      <c r="AC733" s="10">
        <f>SUM(Q733:AB733)</f>
        <v>515750.06</v>
      </c>
      <c r="AD733" s="10">
        <f t="shared" si="465"/>
        <v>43500</v>
      </c>
      <c r="AE733" s="10">
        <f t="shared" si="465"/>
        <v>43500</v>
      </c>
      <c r="AF733" s="10">
        <f>2083.26+41416.7</f>
        <v>43499.96</v>
      </c>
      <c r="AG733" s="10">
        <f>1666.67+41333.33</f>
        <v>43000</v>
      </c>
      <c r="AH733" s="10">
        <f t="shared" ref="AH733:AO733" si="466">1666.67+41333.33</f>
        <v>43000</v>
      </c>
      <c r="AI733" s="10">
        <f t="shared" si="466"/>
        <v>43000</v>
      </c>
      <c r="AJ733" s="10">
        <f t="shared" si="466"/>
        <v>43000</v>
      </c>
      <c r="AK733" s="10">
        <f t="shared" si="466"/>
        <v>43000</v>
      </c>
      <c r="AL733" s="10">
        <f>1666.67+41333.35</f>
        <v>43000.02</v>
      </c>
      <c r="AM733" s="10">
        <f t="shared" si="466"/>
        <v>43000</v>
      </c>
      <c r="AN733" s="10">
        <f t="shared" si="466"/>
        <v>43000</v>
      </c>
      <c r="AO733" s="55">
        <f t="shared" si="466"/>
        <v>43000</v>
      </c>
      <c r="AP733" s="10">
        <f>SUM(AD733:AO733)</f>
        <v>517499.98</v>
      </c>
      <c r="AR733" s="33"/>
    </row>
    <row r="734" spans="1:44" ht="13.5" thickBot="1" x14ac:dyDescent="0.35">
      <c r="C734" s="11" t="s">
        <v>52</v>
      </c>
      <c r="D734" s="12">
        <f t="shared" ref="D734:AB734" si="467">SUM(D731:D733)</f>
        <v>0</v>
      </c>
      <c r="E734" s="12">
        <f t="shared" si="467"/>
        <v>0</v>
      </c>
      <c r="F734" s="12">
        <f t="shared" si="467"/>
        <v>0</v>
      </c>
      <c r="G734" s="12">
        <f t="shared" si="467"/>
        <v>0</v>
      </c>
      <c r="H734" s="12">
        <f t="shared" si="467"/>
        <v>46829.45</v>
      </c>
      <c r="I734" s="12">
        <f t="shared" si="467"/>
        <v>46662.78</v>
      </c>
      <c r="J734" s="12">
        <f t="shared" si="467"/>
        <v>46662.78</v>
      </c>
      <c r="K734" s="12">
        <f t="shared" si="467"/>
        <v>46662.78</v>
      </c>
      <c r="L734" s="12">
        <f t="shared" si="467"/>
        <v>46662.77</v>
      </c>
      <c r="M734" s="12">
        <f t="shared" si="467"/>
        <v>41416.660000000003</v>
      </c>
      <c r="N734" s="12">
        <f t="shared" si="467"/>
        <v>41416.660000000003</v>
      </c>
      <c r="O734" s="12">
        <f t="shared" si="467"/>
        <v>41416.660000000003</v>
      </c>
      <c r="P734" s="12">
        <f t="shared" si="467"/>
        <v>357730.54</v>
      </c>
      <c r="Q734" s="12">
        <f t="shared" si="467"/>
        <v>41666.660000000003</v>
      </c>
      <c r="R734" s="12">
        <f t="shared" si="467"/>
        <v>41416.660000000003</v>
      </c>
      <c r="S734" s="12">
        <f t="shared" si="467"/>
        <v>41416.699999999997</v>
      </c>
      <c r="T734" s="12">
        <f t="shared" si="467"/>
        <v>43500</v>
      </c>
      <c r="U734" s="12">
        <f t="shared" si="467"/>
        <v>43500</v>
      </c>
      <c r="V734" s="12">
        <f t="shared" si="467"/>
        <v>43500</v>
      </c>
      <c r="W734" s="12">
        <f t="shared" si="467"/>
        <v>43500</v>
      </c>
      <c r="X734" s="12">
        <f t="shared" si="467"/>
        <v>43500</v>
      </c>
      <c r="Y734" s="12">
        <f t="shared" si="467"/>
        <v>43500.039999999994</v>
      </c>
      <c r="Z734" s="12">
        <f t="shared" si="467"/>
        <v>43500</v>
      </c>
      <c r="AA734" s="12">
        <f t="shared" si="467"/>
        <v>43500</v>
      </c>
      <c r="AB734" s="12">
        <f t="shared" si="467"/>
        <v>43500</v>
      </c>
      <c r="AC734" s="12">
        <f>SUM(AC731:AC733)</f>
        <v>516000.06</v>
      </c>
      <c r="AD734" s="12">
        <f>SUM(AD731:AD733)</f>
        <v>43750</v>
      </c>
      <c r="AE734" s="12">
        <f>SUM(AE731:AE733)</f>
        <v>43500</v>
      </c>
      <c r="AF734" s="12">
        <f t="shared" ref="AF734:AO734" si="468">SUM(AF731:AF733)</f>
        <v>43499.96</v>
      </c>
      <c r="AG734" s="12">
        <f t="shared" si="468"/>
        <v>43000</v>
      </c>
      <c r="AH734" s="12">
        <f t="shared" si="468"/>
        <v>43000</v>
      </c>
      <c r="AI734" s="12">
        <f t="shared" si="468"/>
        <v>43000</v>
      </c>
      <c r="AJ734" s="12">
        <f t="shared" si="468"/>
        <v>43000</v>
      </c>
      <c r="AK734" s="12">
        <f t="shared" si="468"/>
        <v>43000</v>
      </c>
      <c r="AL734" s="12">
        <f t="shared" si="468"/>
        <v>43000.02</v>
      </c>
      <c r="AM734" s="12">
        <f t="shared" si="468"/>
        <v>43000</v>
      </c>
      <c r="AN734" s="12">
        <f t="shared" si="468"/>
        <v>43000</v>
      </c>
      <c r="AO734" s="57">
        <f t="shared" si="468"/>
        <v>43000</v>
      </c>
      <c r="AP734" s="12">
        <f>SUM(AP731:AP733)</f>
        <v>517749.98</v>
      </c>
    </row>
    <row r="735" spans="1:44" x14ac:dyDescent="0.3">
      <c r="C735" s="13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</row>
    <row r="736" spans="1:44" ht="15.5" x14ac:dyDescent="0.35">
      <c r="A736" s="18"/>
      <c r="B736" s="25" t="s">
        <v>5</v>
      </c>
      <c r="C736" s="8" t="s">
        <v>236</v>
      </c>
    </row>
    <row r="737" spans="1:44" x14ac:dyDescent="0.3">
      <c r="C737" s="6" t="s">
        <v>7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0</v>
      </c>
      <c r="O737" s="10">
        <v>0</v>
      </c>
      <c r="P737" s="10">
        <f>SUM(D737:O737)</f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0</v>
      </c>
      <c r="AC737" s="10">
        <f>SUM(Q737:AB737)</f>
        <v>0</v>
      </c>
      <c r="AD737" s="10">
        <v>0</v>
      </c>
      <c r="AE737" s="10">
        <v>0</v>
      </c>
      <c r="AF737" s="10">
        <v>0</v>
      </c>
      <c r="AG737" s="10">
        <v>0</v>
      </c>
      <c r="AH737" s="10"/>
      <c r="AI737" s="10"/>
      <c r="AJ737" s="10"/>
      <c r="AK737" s="10"/>
      <c r="AL737" s="10"/>
      <c r="AM737" s="10"/>
      <c r="AN737" s="10"/>
      <c r="AO737" s="55"/>
      <c r="AP737" s="10">
        <f>SUM(AD737:AO737)</f>
        <v>0</v>
      </c>
    </row>
    <row r="738" spans="1:44" x14ac:dyDescent="0.3">
      <c r="C738" s="6" t="s">
        <v>8</v>
      </c>
      <c r="D738" s="9"/>
      <c r="E738" s="9"/>
      <c r="H738" s="9">
        <v>166.67</v>
      </c>
      <c r="P738" s="10">
        <f>SUM(D738:O738)</f>
        <v>166.67</v>
      </c>
      <c r="Q738" s="9">
        <v>250</v>
      </c>
      <c r="AC738" s="10">
        <f>SUM(Q738:AB738)</f>
        <v>250</v>
      </c>
      <c r="AD738" s="9">
        <v>250</v>
      </c>
      <c r="AE738" s="9"/>
      <c r="AF738" s="9"/>
      <c r="AG738" s="9"/>
      <c r="AH738" s="9"/>
      <c r="AI738" s="9"/>
      <c r="AJ738" s="9"/>
      <c r="AK738" s="9"/>
      <c r="AL738" s="9"/>
      <c r="AM738" s="9"/>
      <c r="AN738" s="23"/>
      <c r="AO738" s="56"/>
      <c r="AP738" s="10">
        <f>SUM(AD738:AO738)</f>
        <v>250</v>
      </c>
    </row>
    <row r="739" spans="1:44" ht="13.5" thickBot="1" x14ac:dyDescent="0.35">
      <c r="C739" s="6" t="s">
        <v>9</v>
      </c>
      <c r="D739" s="10">
        <v>0</v>
      </c>
      <c r="E739" s="10">
        <v>0</v>
      </c>
      <c r="F739" s="10">
        <v>0</v>
      </c>
      <c r="G739" s="10">
        <v>0</v>
      </c>
      <c r="H739" s="10">
        <v>24533.75</v>
      </c>
      <c r="I739" s="10">
        <v>24533.75</v>
      </c>
      <c r="J739" s="10">
        <v>24533.75</v>
      </c>
      <c r="K739" s="10">
        <v>24533.75</v>
      </c>
      <c r="L739" s="10">
        <v>24533.75</v>
      </c>
      <c r="M739" s="10">
        <v>24533.75</v>
      </c>
      <c r="N739" s="10">
        <v>24533.75</v>
      </c>
      <c r="O739" s="10">
        <v>38035.89</v>
      </c>
      <c r="P739" s="10">
        <f>SUM(D739:O739)</f>
        <v>209772.14</v>
      </c>
      <c r="Q739" s="10">
        <v>38035.89</v>
      </c>
      <c r="R739" s="10">
        <v>38035.89</v>
      </c>
      <c r="S739" s="10">
        <v>38035.89</v>
      </c>
      <c r="T739" s="10">
        <v>38035.89</v>
      </c>
      <c r="U739" s="10">
        <v>38035.89</v>
      </c>
      <c r="V739" s="10">
        <v>38035.89</v>
      </c>
      <c r="W739" s="10">
        <v>38035.89</v>
      </c>
      <c r="X739" s="10">
        <v>38035.89</v>
      </c>
      <c r="Y739" s="10">
        <v>38035.89</v>
      </c>
      <c r="Z739" s="10">
        <v>38035.89</v>
      </c>
      <c r="AA739" s="10">
        <v>38035.879999999997</v>
      </c>
      <c r="AB739" s="10">
        <v>88022.5</v>
      </c>
      <c r="AC739" s="10">
        <f>SUM(Q739:AB739)</f>
        <v>506417.28000000009</v>
      </c>
      <c r="AD739" s="10">
        <v>88022.5</v>
      </c>
      <c r="AE739" s="10">
        <v>88022.5</v>
      </c>
      <c r="AF739" s="10">
        <v>88022.5</v>
      </c>
      <c r="AG739" s="10">
        <v>88022.5</v>
      </c>
      <c r="AH739" s="10"/>
      <c r="AI739" s="10"/>
      <c r="AJ739" s="10"/>
      <c r="AK739" s="10"/>
      <c r="AL739" s="10"/>
      <c r="AM739" s="10"/>
      <c r="AN739" s="10"/>
      <c r="AO739" s="55"/>
      <c r="AP739" s="10">
        <f>SUM(AD739:AO739)</f>
        <v>352090</v>
      </c>
    </row>
    <row r="740" spans="1:44" ht="13.5" thickBot="1" x14ac:dyDescent="0.35">
      <c r="C740" s="11" t="s">
        <v>237</v>
      </c>
      <c r="D740" s="12">
        <f t="shared" ref="D740:AB740" si="469">SUM(D737:D739)</f>
        <v>0</v>
      </c>
      <c r="E740" s="12">
        <f t="shared" si="469"/>
        <v>0</v>
      </c>
      <c r="F740" s="12">
        <f t="shared" si="469"/>
        <v>0</v>
      </c>
      <c r="G740" s="12">
        <f t="shared" si="469"/>
        <v>0</v>
      </c>
      <c r="H740" s="12">
        <f t="shared" si="469"/>
        <v>24700.42</v>
      </c>
      <c r="I740" s="12">
        <f t="shared" si="469"/>
        <v>24533.75</v>
      </c>
      <c r="J740" s="12">
        <f t="shared" si="469"/>
        <v>24533.75</v>
      </c>
      <c r="K740" s="12">
        <f t="shared" si="469"/>
        <v>24533.75</v>
      </c>
      <c r="L740" s="12">
        <f t="shared" si="469"/>
        <v>24533.75</v>
      </c>
      <c r="M740" s="12">
        <f t="shared" si="469"/>
        <v>24533.75</v>
      </c>
      <c r="N740" s="12">
        <f t="shared" si="469"/>
        <v>24533.75</v>
      </c>
      <c r="O740" s="12">
        <f t="shared" si="469"/>
        <v>38035.89</v>
      </c>
      <c r="P740" s="12">
        <f t="shared" si="469"/>
        <v>209938.81000000003</v>
      </c>
      <c r="Q740" s="12">
        <f t="shared" si="469"/>
        <v>38285.89</v>
      </c>
      <c r="R740" s="12">
        <f t="shared" si="469"/>
        <v>38035.89</v>
      </c>
      <c r="S740" s="12">
        <f t="shared" si="469"/>
        <v>38035.89</v>
      </c>
      <c r="T740" s="12">
        <f t="shared" si="469"/>
        <v>38035.89</v>
      </c>
      <c r="U740" s="12">
        <f t="shared" si="469"/>
        <v>38035.89</v>
      </c>
      <c r="V740" s="12">
        <f t="shared" si="469"/>
        <v>38035.89</v>
      </c>
      <c r="W740" s="12">
        <f t="shared" si="469"/>
        <v>38035.89</v>
      </c>
      <c r="X740" s="12">
        <f t="shared" si="469"/>
        <v>38035.89</v>
      </c>
      <c r="Y740" s="12">
        <f t="shared" si="469"/>
        <v>38035.89</v>
      </c>
      <c r="Z740" s="12">
        <f t="shared" si="469"/>
        <v>38035.89</v>
      </c>
      <c r="AA740" s="12">
        <f t="shared" si="469"/>
        <v>38035.879999999997</v>
      </c>
      <c r="AB740" s="12">
        <f t="shared" si="469"/>
        <v>88022.5</v>
      </c>
      <c r="AC740" s="12">
        <f>SUM(AC737:AC739)</f>
        <v>506667.28000000009</v>
      </c>
      <c r="AD740" s="12">
        <f>SUM(AD737:AD739)</f>
        <v>88272.5</v>
      </c>
      <c r="AE740" s="12">
        <f>SUM(AE737:AE739)</f>
        <v>88022.5</v>
      </c>
      <c r="AF740" s="12">
        <f t="shared" ref="AF740:AO740" si="470">SUM(AF737:AF739)</f>
        <v>88022.5</v>
      </c>
      <c r="AG740" s="12">
        <f t="shared" si="470"/>
        <v>88022.5</v>
      </c>
      <c r="AH740" s="12">
        <f t="shared" si="470"/>
        <v>0</v>
      </c>
      <c r="AI740" s="12">
        <f t="shared" si="470"/>
        <v>0</v>
      </c>
      <c r="AJ740" s="12">
        <f t="shared" si="470"/>
        <v>0</v>
      </c>
      <c r="AK740" s="12">
        <f t="shared" si="470"/>
        <v>0</v>
      </c>
      <c r="AL740" s="12">
        <f t="shared" si="470"/>
        <v>0</v>
      </c>
      <c r="AM740" s="12">
        <f t="shared" si="470"/>
        <v>0</v>
      </c>
      <c r="AN740" s="12">
        <f t="shared" si="470"/>
        <v>0</v>
      </c>
      <c r="AO740" s="57">
        <f t="shared" si="470"/>
        <v>0</v>
      </c>
      <c r="AP740" s="12">
        <f>SUM(AP737:AP739)</f>
        <v>352340</v>
      </c>
    </row>
    <row r="741" spans="1:44" x14ac:dyDescent="0.3">
      <c r="C741" s="13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</row>
    <row r="742" spans="1:44" ht="15.5" x14ac:dyDescent="0.35">
      <c r="A742" s="18">
        <f>+A730+1</f>
        <v>92</v>
      </c>
      <c r="B742" s="1" t="s">
        <v>141</v>
      </c>
      <c r="C742" s="22" t="s">
        <v>238</v>
      </c>
    </row>
    <row r="743" spans="1:44" x14ac:dyDescent="0.3">
      <c r="C743" s="6" t="s">
        <v>7</v>
      </c>
      <c r="D743" s="10">
        <v>0</v>
      </c>
      <c r="E743" s="10">
        <v>0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f>SUM(D743:O743)</f>
        <v>0</v>
      </c>
      <c r="Q743" s="10">
        <v>0</v>
      </c>
      <c r="R743" s="10">
        <v>0</v>
      </c>
      <c r="S743" s="10">
        <v>0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  <c r="AC743" s="10">
        <f>SUM(Q743:AB743)</f>
        <v>0</v>
      </c>
      <c r="AD743" s="10">
        <v>0</v>
      </c>
      <c r="AE743" s="10">
        <v>0</v>
      </c>
      <c r="AF743" s="10">
        <v>0</v>
      </c>
      <c r="AG743" s="10">
        <v>0</v>
      </c>
      <c r="AH743" s="10">
        <v>0</v>
      </c>
      <c r="AI743" s="10">
        <v>0</v>
      </c>
      <c r="AJ743" s="10">
        <v>0</v>
      </c>
      <c r="AK743" s="10">
        <v>0</v>
      </c>
      <c r="AL743" s="10">
        <v>0</v>
      </c>
      <c r="AM743" s="10">
        <v>0</v>
      </c>
      <c r="AN743" s="10">
        <v>0</v>
      </c>
      <c r="AO743" s="55">
        <v>0</v>
      </c>
      <c r="AP743" s="10">
        <f>SUM(AD743:AO743)</f>
        <v>0</v>
      </c>
    </row>
    <row r="744" spans="1:44" x14ac:dyDescent="0.3">
      <c r="C744" s="6" t="s">
        <v>8</v>
      </c>
      <c r="D744" s="9"/>
      <c r="E744" s="9"/>
      <c r="H744" s="9"/>
      <c r="J744" s="9">
        <v>62.5</v>
      </c>
      <c r="P744" s="10">
        <f>SUM(D744:O744)</f>
        <v>62.5</v>
      </c>
      <c r="Q744" s="9">
        <v>125</v>
      </c>
      <c r="AC744" s="10">
        <f>SUM(Q744:AB744)</f>
        <v>125</v>
      </c>
      <c r="AD744" s="9">
        <v>125</v>
      </c>
      <c r="AE744" s="9"/>
      <c r="AF744" s="9"/>
      <c r="AG744" s="9"/>
      <c r="AH744" s="9"/>
      <c r="AI744" s="9"/>
      <c r="AJ744" s="9"/>
      <c r="AK744" s="9"/>
      <c r="AL744" s="9"/>
      <c r="AM744" s="9"/>
      <c r="AN744" s="23"/>
      <c r="AO744" s="56"/>
      <c r="AP744" s="10">
        <f>SUM(AD744:AO744)</f>
        <v>125</v>
      </c>
    </row>
    <row r="745" spans="1:44" ht="13.5" thickBot="1" x14ac:dyDescent="0.35">
      <c r="C745" s="6" t="s">
        <v>9</v>
      </c>
      <c r="D745" s="10">
        <v>0</v>
      </c>
      <c r="E745" s="10">
        <v>0</v>
      </c>
      <c r="F745" s="10">
        <v>0</v>
      </c>
      <c r="G745" s="10">
        <v>0</v>
      </c>
      <c r="H745" s="10">
        <v>0</v>
      </c>
      <c r="I745" s="10">
        <v>0</v>
      </c>
      <c r="J745" s="10">
        <f>29285.71+55956.33</f>
        <v>85242.040000000008</v>
      </c>
      <c r="K745" s="10">
        <f>29285.71+55956.33</f>
        <v>85242.040000000008</v>
      </c>
      <c r="L745" s="10">
        <f>29285.71+55956.33</f>
        <v>85242.040000000008</v>
      </c>
      <c r="M745" s="10">
        <f>29285.71+55956.33</f>
        <v>85242.040000000008</v>
      </c>
      <c r="N745" s="10">
        <f>29285.71+55956.33</f>
        <v>85242.040000000008</v>
      </c>
      <c r="O745" s="10">
        <f>29285.74+55956.35</f>
        <v>85242.09</v>
      </c>
      <c r="P745" s="10">
        <f>SUM(D745:O745)</f>
        <v>511452.29000000004</v>
      </c>
      <c r="Q745" s="9">
        <v>88276.800000000003</v>
      </c>
      <c r="R745" s="9">
        <v>88276.800000000003</v>
      </c>
      <c r="S745" s="9">
        <v>88276.800000000003</v>
      </c>
      <c r="T745" s="9">
        <v>88276.800000000003</v>
      </c>
      <c r="U745" s="9">
        <v>88276.800000000003</v>
      </c>
      <c r="V745" s="9">
        <v>88276.77</v>
      </c>
      <c r="W745" s="9">
        <v>88276.800000000003</v>
      </c>
      <c r="X745" s="9">
        <v>88276.800000000003</v>
      </c>
      <c r="Y745" s="9">
        <v>88276.800000000003</v>
      </c>
      <c r="Z745" s="9">
        <v>88276.800000000003</v>
      </c>
      <c r="AA745" s="9">
        <v>88276.800000000003</v>
      </c>
      <c r="AB745" s="9">
        <v>88276.73</v>
      </c>
      <c r="AC745" s="10">
        <f>SUM(Q745:AB745)</f>
        <v>1059321.5000000002</v>
      </c>
      <c r="AD745" s="10">
        <v>87544.66</v>
      </c>
      <c r="AE745" s="10">
        <v>87544.66</v>
      </c>
      <c r="AF745" s="10">
        <v>87544.66</v>
      </c>
      <c r="AG745" s="10">
        <v>87544.66</v>
      </c>
      <c r="AH745" s="10">
        <v>87544.66</v>
      </c>
      <c r="AI745" s="10">
        <v>87544.68</v>
      </c>
      <c r="AJ745" s="10">
        <v>87544.66</v>
      </c>
      <c r="AK745" s="10">
        <v>87544.66</v>
      </c>
      <c r="AL745" s="10">
        <v>87544.66</v>
      </c>
      <c r="AM745" s="10">
        <v>87544.66</v>
      </c>
      <c r="AN745" s="10">
        <v>87544.66</v>
      </c>
      <c r="AO745" s="55">
        <v>87544.72</v>
      </c>
      <c r="AP745" s="10">
        <f>SUM(AD745:AO745)</f>
        <v>1050536.0000000002</v>
      </c>
      <c r="AR745" s="33"/>
    </row>
    <row r="746" spans="1:44" ht="13.5" thickBot="1" x14ac:dyDescent="0.35">
      <c r="C746" s="11" t="s">
        <v>239</v>
      </c>
      <c r="D746" s="12">
        <f t="shared" ref="D746:AB746" si="471">SUM(D743:D745)</f>
        <v>0</v>
      </c>
      <c r="E746" s="12">
        <f t="shared" si="471"/>
        <v>0</v>
      </c>
      <c r="F746" s="12">
        <f t="shared" si="471"/>
        <v>0</v>
      </c>
      <c r="G746" s="12">
        <f t="shared" si="471"/>
        <v>0</v>
      </c>
      <c r="H746" s="12">
        <f t="shared" si="471"/>
        <v>0</v>
      </c>
      <c r="I746" s="12">
        <f t="shared" si="471"/>
        <v>0</v>
      </c>
      <c r="J746" s="12">
        <f t="shared" si="471"/>
        <v>85304.540000000008</v>
      </c>
      <c r="K746" s="12">
        <f t="shared" si="471"/>
        <v>85242.040000000008</v>
      </c>
      <c r="L746" s="12">
        <f t="shared" si="471"/>
        <v>85242.040000000008</v>
      </c>
      <c r="M746" s="12">
        <f t="shared" si="471"/>
        <v>85242.040000000008</v>
      </c>
      <c r="N746" s="12">
        <f t="shared" si="471"/>
        <v>85242.040000000008</v>
      </c>
      <c r="O746" s="12">
        <f t="shared" si="471"/>
        <v>85242.09</v>
      </c>
      <c r="P746" s="12">
        <f t="shared" si="471"/>
        <v>511514.79000000004</v>
      </c>
      <c r="Q746" s="12">
        <f t="shared" si="471"/>
        <v>88401.8</v>
      </c>
      <c r="R746" s="12">
        <f t="shared" si="471"/>
        <v>88276.800000000003</v>
      </c>
      <c r="S746" s="12">
        <f t="shared" si="471"/>
        <v>88276.800000000003</v>
      </c>
      <c r="T746" s="12">
        <f t="shared" si="471"/>
        <v>88276.800000000003</v>
      </c>
      <c r="U746" s="12">
        <f t="shared" si="471"/>
        <v>88276.800000000003</v>
      </c>
      <c r="V746" s="12">
        <f t="shared" si="471"/>
        <v>88276.77</v>
      </c>
      <c r="W746" s="12">
        <f t="shared" si="471"/>
        <v>88276.800000000003</v>
      </c>
      <c r="X746" s="12">
        <f t="shared" si="471"/>
        <v>88276.800000000003</v>
      </c>
      <c r="Y746" s="12">
        <f t="shared" si="471"/>
        <v>88276.800000000003</v>
      </c>
      <c r="Z746" s="12">
        <f t="shared" si="471"/>
        <v>88276.800000000003</v>
      </c>
      <c r="AA746" s="12">
        <f t="shared" si="471"/>
        <v>88276.800000000003</v>
      </c>
      <c r="AB746" s="12">
        <f t="shared" si="471"/>
        <v>88276.73</v>
      </c>
      <c r="AC746" s="12">
        <f>SUM(AC743:AC745)</f>
        <v>1059446.5000000002</v>
      </c>
      <c r="AD746" s="12">
        <f>SUM(AD743:AD745)</f>
        <v>87669.66</v>
      </c>
      <c r="AE746" s="12">
        <f>SUM(AE743:AE745)</f>
        <v>87544.66</v>
      </c>
      <c r="AF746" s="12">
        <f t="shared" ref="AF746:AO746" si="472">SUM(AF743:AF745)</f>
        <v>87544.66</v>
      </c>
      <c r="AG746" s="12">
        <f t="shared" si="472"/>
        <v>87544.66</v>
      </c>
      <c r="AH746" s="12">
        <f t="shared" si="472"/>
        <v>87544.66</v>
      </c>
      <c r="AI746" s="12">
        <f t="shared" si="472"/>
        <v>87544.68</v>
      </c>
      <c r="AJ746" s="12">
        <f t="shared" si="472"/>
        <v>87544.66</v>
      </c>
      <c r="AK746" s="12">
        <f t="shared" si="472"/>
        <v>87544.66</v>
      </c>
      <c r="AL746" s="12">
        <f t="shared" si="472"/>
        <v>87544.66</v>
      </c>
      <c r="AM746" s="12">
        <f t="shared" si="472"/>
        <v>87544.66</v>
      </c>
      <c r="AN746" s="12">
        <f t="shared" si="472"/>
        <v>87544.66</v>
      </c>
      <c r="AO746" s="57">
        <f t="shared" si="472"/>
        <v>87544.72</v>
      </c>
      <c r="AP746" s="12">
        <f>SUM(AP743:AP745)</f>
        <v>1050661.0000000002</v>
      </c>
    </row>
    <row r="747" spans="1:44" x14ac:dyDescent="0.3">
      <c r="C747" s="13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</row>
    <row r="748" spans="1:44" ht="15.5" x14ac:dyDescent="0.35">
      <c r="A748" s="18">
        <f>A742</f>
        <v>92</v>
      </c>
      <c r="B748" s="1" t="s">
        <v>144</v>
      </c>
      <c r="C748" s="22" t="s">
        <v>240</v>
      </c>
    </row>
    <row r="749" spans="1:44" x14ac:dyDescent="0.3">
      <c r="C749" s="6" t="s">
        <v>7</v>
      </c>
      <c r="D749" s="10">
        <v>0</v>
      </c>
      <c r="E749" s="10">
        <v>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f>SUM(D749:O749)</f>
        <v>0</v>
      </c>
      <c r="Q749" s="10">
        <v>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f>SUM(Q749:AB749)</f>
        <v>0</v>
      </c>
      <c r="AD749" s="10">
        <v>0</v>
      </c>
      <c r="AE749" s="10">
        <v>0</v>
      </c>
      <c r="AF749" s="10">
        <v>0</v>
      </c>
      <c r="AG749" s="10">
        <v>0</v>
      </c>
      <c r="AH749" s="10">
        <v>0</v>
      </c>
      <c r="AI749" s="10">
        <v>0</v>
      </c>
      <c r="AJ749" s="10">
        <v>0</v>
      </c>
      <c r="AK749" s="10">
        <v>0</v>
      </c>
      <c r="AL749" s="10">
        <v>0</v>
      </c>
      <c r="AM749" s="10">
        <v>0</v>
      </c>
      <c r="AN749" s="10">
        <v>0</v>
      </c>
      <c r="AO749" s="55">
        <v>0</v>
      </c>
      <c r="AP749" s="10">
        <f>SUM(AD749:AO749)</f>
        <v>0</v>
      </c>
    </row>
    <row r="750" spans="1:44" x14ac:dyDescent="0.3">
      <c r="C750" s="6" t="s">
        <v>8</v>
      </c>
      <c r="D750" s="9"/>
      <c r="E750" s="9"/>
      <c r="H750" s="9"/>
      <c r="J750" s="9">
        <v>62.5</v>
      </c>
      <c r="P750" s="10">
        <f>SUM(D750:O750)</f>
        <v>62.5</v>
      </c>
      <c r="Q750" s="9">
        <v>125</v>
      </c>
      <c r="AC750" s="10">
        <f>SUM(Q750:AB750)</f>
        <v>125</v>
      </c>
      <c r="AD750" s="9">
        <v>125</v>
      </c>
      <c r="AE750" s="9"/>
      <c r="AF750" s="9"/>
      <c r="AG750" s="9"/>
      <c r="AH750" s="9"/>
      <c r="AI750" s="9"/>
      <c r="AJ750" s="9"/>
      <c r="AK750" s="9"/>
      <c r="AL750" s="9"/>
      <c r="AM750" s="9"/>
      <c r="AN750" s="23"/>
      <c r="AO750" s="56"/>
      <c r="AP750" s="10">
        <f>SUM(AD750:AO750)</f>
        <v>125</v>
      </c>
    </row>
    <row r="751" spans="1:44" ht="13.5" thickBot="1" x14ac:dyDescent="0.35">
      <c r="C751" s="6" t="s">
        <v>9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28500</v>
      </c>
      <c r="K751" s="10">
        <v>28500</v>
      </c>
      <c r="L751" s="10">
        <v>28500</v>
      </c>
      <c r="M751" s="10">
        <v>28500</v>
      </c>
      <c r="N751" s="10">
        <v>28500</v>
      </c>
      <c r="O751" s="10">
        <v>28500</v>
      </c>
      <c r="P751" s="10">
        <f>SUM(D751:O751)</f>
        <v>171000</v>
      </c>
      <c r="Q751" s="10">
        <v>28500</v>
      </c>
      <c r="R751" s="10">
        <v>28500</v>
      </c>
      <c r="S751" s="10">
        <v>28500</v>
      </c>
      <c r="T751" s="10">
        <v>28500</v>
      </c>
      <c r="U751" s="10">
        <v>28500</v>
      </c>
      <c r="V751" s="10">
        <v>28500</v>
      </c>
      <c r="W751" s="10">
        <v>28500</v>
      </c>
      <c r="X751" s="10">
        <v>28500</v>
      </c>
      <c r="Y751" s="10">
        <v>28500</v>
      </c>
      <c r="Z751" s="10">
        <v>28500</v>
      </c>
      <c r="AA751" s="10">
        <v>28500</v>
      </c>
      <c r="AB751" s="10">
        <v>28500</v>
      </c>
      <c r="AC751" s="10">
        <f>SUM(Q751:AB751)</f>
        <v>342000</v>
      </c>
      <c r="AD751" s="10">
        <v>28500</v>
      </c>
      <c r="AE751" s="10">
        <v>28500</v>
      </c>
      <c r="AF751" s="10">
        <v>28500</v>
      </c>
      <c r="AG751" s="10">
        <v>28500</v>
      </c>
      <c r="AH751" s="10">
        <v>28500</v>
      </c>
      <c r="AI751" s="10">
        <v>0</v>
      </c>
      <c r="AJ751" s="10">
        <v>0</v>
      </c>
      <c r="AK751" s="10">
        <v>0</v>
      </c>
      <c r="AL751" s="10">
        <v>0</v>
      </c>
      <c r="AM751" s="10">
        <v>0</v>
      </c>
      <c r="AN751" s="10">
        <v>0</v>
      </c>
      <c r="AO751" s="55">
        <v>0</v>
      </c>
      <c r="AP751" s="10">
        <f>SUM(AD751:AO751)</f>
        <v>142500</v>
      </c>
      <c r="AR751" s="33"/>
    </row>
    <row r="752" spans="1:44" ht="13.5" thickBot="1" x14ac:dyDescent="0.35">
      <c r="C752" s="11" t="s">
        <v>239</v>
      </c>
      <c r="D752" s="12">
        <f t="shared" ref="D752:AB752" si="473">SUM(D749:D751)</f>
        <v>0</v>
      </c>
      <c r="E752" s="12">
        <f t="shared" si="473"/>
        <v>0</v>
      </c>
      <c r="F752" s="12">
        <f t="shared" si="473"/>
        <v>0</v>
      </c>
      <c r="G752" s="12">
        <f t="shared" si="473"/>
        <v>0</v>
      </c>
      <c r="H752" s="12">
        <f t="shared" si="473"/>
        <v>0</v>
      </c>
      <c r="I752" s="12">
        <f t="shared" si="473"/>
        <v>0</v>
      </c>
      <c r="J752" s="12">
        <f t="shared" si="473"/>
        <v>28562.5</v>
      </c>
      <c r="K752" s="12">
        <f t="shared" si="473"/>
        <v>28500</v>
      </c>
      <c r="L752" s="12">
        <f t="shared" si="473"/>
        <v>28500</v>
      </c>
      <c r="M752" s="12">
        <f t="shared" si="473"/>
        <v>28500</v>
      </c>
      <c r="N752" s="12">
        <f t="shared" si="473"/>
        <v>28500</v>
      </c>
      <c r="O752" s="12">
        <f t="shared" si="473"/>
        <v>28500</v>
      </c>
      <c r="P752" s="12">
        <f t="shared" si="473"/>
        <v>171062.5</v>
      </c>
      <c r="Q752" s="12">
        <f t="shared" si="473"/>
        <v>28625</v>
      </c>
      <c r="R752" s="12">
        <f t="shared" si="473"/>
        <v>28500</v>
      </c>
      <c r="S752" s="12">
        <f t="shared" si="473"/>
        <v>28500</v>
      </c>
      <c r="T752" s="12">
        <f t="shared" si="473"/>
        <v>28500</v>
      </c>
      <c r="U752" s="12">
        <f t="shared" si="473"/>
        <v>28500</v>
      </c>
      <c r="V752" s="12">
        <f t="shared" si="473"/>
        <v>28500</v>
      </c>
      <c r="W752" s="12">
        <f t="shared" si="473"/>
        <v>28500</v>
      </c>
      <c r="X752" s="12">
        <f t="shared" si="473"/>
        <v>28500</v>
      </c>
      <c r="Y752" s="12">
        <f t="shared" si="473"/>
        <v>28500</v>
      </c>
      <c r="Z752" s="12">
        <f t="shared" si="473"/>
        <v>28500</v>
      </c>
      <c r="AA752" s="12">
        <f t="shared" si="473"/>
        <v>28500</v>
      </c>
      <c r="AB752" s="12">
        <f t="shared" si="473"/>
        <v>28500</v>
      </c>
      <c r="AC752" s="12">
        <f>SUM(AC749:AC751)</f>
        <v>342125</v>
      </c>
      <c r="AD752" s="12">
        <f>SUM(AD749:AD751)</f>
        <v>28625</v>
      </c>
      <c r="AE752" s="12">
        <f>SUM(AE749:AE751)</f>
        <v>28500</v>
      </c>
      <c r="AF752" s="12">
        <f t="shared" ref="AF752:AO752" si="474">SUM(AF749:AF751)</f>
        <v>28500</v>
      </c>
      <c r="AG752" s="12">
        <f t="shared" si="474"/>
        <v>28500</v>
      </c>
      <c r="AH752" s="12">
        <f t="shared" si="474"/>
        <v>28500</v>
      </c>
      <c r="AI752" s="12">
        <f t="shared" si="474"/>
        <v>0</v>
      </c>
      <c r="AJ752" s="12">
        <f t="shared" si="474"/>
        <v>0</v>
      </c>
      <c r="AK752" s="12">
        <f t="shared" si="474"/>
        <v>0</v>
      </c>
      <c r="AL752" s="12">
        <f t="shared" si="474"/>
        <v>0</v>
      </c>
      <c r="AM752" s="12">
        <f t="shared" si="474"/>
        <v>0</v>
      </c>
      <c r="AN752" s="12">
        <f t="shared" si="474"/>
        <v>0</v>
      </c>
      <c r="AO752" s="57">
        <f t="shared" si="474"/>
        <v>0</v>
      </c>
      <c r="AP752" s="12">
        <f>SUM(AP749:AP751)</f>
        <v>142625</v>
      </c>
    </row>
    <row r="753" spans="1:44" x14ac:dyDescent="0.3">
      <c r="C753" s="13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</row>
    <row r="754" spans="1:44" ht="15.5" x14ac:dyDescent="0.35">
      <c r="A754" s="18">
        <f>+A748+1</f>
        <v>93</v>
      </c>
      <c r="B754" s="1" t="s">
        <v>141</v>
      </c>
      <c r="C754" s="22" t="s">
        <v>241</v>
      </c>
    </row>
    <row r="755" spans="1:44" x14ac:dyDescent="0.3">
      <c r="C755" s="6" t="s">
        <v>7</v>
      </c>
      <c r="D755" s="10">
        <v>0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f>SUM(D755:O755)</f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0</v>
      </c>
      <c r="AC755" s="10">
        <f>SUM(Q755:AB755)</f>
        <v>0</v>
      </c>
      <c r="AD755" s="10">
        <v>0</v>
      </c>
      <c r="AE755" s="10">
        <v>0</v>
      </c>
      <c r="AF755" s="10">
        <v>0</v>
      </c>
      <c r="AG755" s="10">
        <v>0</v>
      </c>
      <c r="AH755" s="10">
        <v>0</v>
      </c>
      <c r="AI755" s="10">
        <v>0</v>
      </c>
      <c r="AJ755" s="10">
        <v>0</v>
      </c>
      <c r="AK755" s="10">
        <v>0</v>
      </c>
      <c r="AL755" s="10">
        <v>0</v>
      </c>
      <c r="AM755" s="10">
        <v>0</v>
      </c>
      <c r="AN755" s="10">
        <v>0</v>
      </c>
      <c r="AO755" s="55">
        <v>0</v>
      </c>
      <c r="AP755" s="10">
        <f>SUM(AD755:AO755)</f>
        <v>0</v>
      </c>
    </row>
    <row r="756" spans="1:44" x14ac:dyDescent="0.3">
      <c r="C756" s="6" t="s">
        <v>8</v>
      </c>
      <c r="D756" s="9"/>
      <c r="E756" s="9"/>
      <c r="H756" s="9"/>
      <c r="J756" s="9">
        <v>62.5</v>
      </c>
      <c r="P756" s="10">
        <f>SUM(D756:O756)</f>
        <v>62.5</v>
      </c>
      <c r="Q756" s="9">
        <v>125</v>
      </c>
      <c r="AC756" s="10">
        <f>SUM(Q756:AB756)</f>
        <v>125</v>
      </c>
      <c r="AD756" s="9">
        <v>125</v>
      </c>
      <c r="AE756" s="9"/>
      <c r="AF756" s="9"/>
      <c r="AG756" s="9"/>
      <c r="AH756" s="9"/>
      <c r="AI756" s="9"/>
      <c r="AJ756" s="9"/>
      <c r="AK756" s="9"/>
      <c r="AL756" s="9"/>
      <c r="AM756" s="9"/>
      <c r="AN756" s="23"/>
      <c r="AO756" s="56"/>
      <c r="AP756" s="10">
        <f>SUM(AD756:AO756)</f>
        <v>125</v>
      </c>
    </row>
    <row r="757" spans="1:44" ht="13.5" thickBot="1" x14ac:dyDescent="0.35">
      <c r="C757" s="6" t="s">
        <v>9</v>
      </c>
      <c r="D757" s="10">
        <v>0</v>
      </c>
      <c r="E757" s="10">
        <v>0</v>
      </c>
      <c r="F757" s="10">
        <v>0</v>
      </c>
      <c r="G757" s="10">
        <v>0</v>
      </c>
      <c r="H757" s="10">
        <v>0</v>
      </c>
      <c r="I757" s="10">
        <v>0</v>
      </c>
      <c r="J757" s="10">
        <v>20992.34</v>
      </c>
      <c r="K757" s="10">
        <v>20992.34</v>
      </c>
      <c r="L757" s="10">
        <v>20992.34</v>
      </c>
      <c r="M757" s="10">
        <v>20992.34</v>
      </c>
      <c r="N757" s="10">
        <v>20992.34</v>
      </c>
      <c r="O757" s="10">
        <v>20992.36</v>
      </c>
      <c r="P757" s="10">
        <f>SUM(D757:O757)</f>
        <v>125954.06</v>
      </c>
      <c r="Q757" s="10">
        <v>19992.71</v>
      </c>
      <c r="R757" s="10">
        <v>19992.71</v>
      </c>
      <c r="S757" s="10">
        <v>19992.71</v>
      </c>
      <c r="T757" s="10">
        <v>19992.71</v>
      </c>
      <c r="U757" s="10">
        <v>19992.71</v>
      </c>
      <c r="V757" s="10">
        <v>19992.7</v>
      </c>
      <c r="W757" s="10">
        <v>19992.71</v>
      </c>
      <c r="X757" s="10">
        <v>19992.71</v>
      </c>
      <c r="Y757" s="10">
        <v>19992.71</v>
      </c>
      <c r="Z757" s="10">
        <v>19992.71</v>
      </c>
      <c r="AA757" s="10">
        <v>19992.71</v>
      </c>
      <c r="AB757" s="10">
        <v>19992.7</v>
      </c>
      <c r="AC757" s="10">
        <f>SUM(Q757:AB757)</f>
        <v>239912.49999999997</v>
      </c>
      <c r="AD757" s="10">
        <v>19992.71</v>
      </c>
      <c r="AE757" s="10">
        <v>19992.71</v>
      </c>
      <c r="AF757" s="10">
        <v>19992.71</v>
      </c>
      <c r="AG757" s="10">
        <v>19992.71</v>
      </c>
      <c r="AH757" s="10">
        <v>19992.71</v>
      </c>
      <c r="AI757" s="10">
        <v>19992.7</v>
      </c>
      <c r="AJ757" s="10">
        <v>19992.71</v>
      </c>
      <c r="AK757" s="10">
        <v>19992.71</v>
      </c>
      <c r="AL757" s="10">
        <v>19992.71</v>
      </c>
      <c r="AM757" s="10">
        <v>19992.71</v>
      </c>
      <c r="AN757" s="10">
        <v>19992.71</v>
      </c>
      <c r="AO757" s="55">
        <v>19992.7</v>
      </c>
      <c r="AP757" s="10">
        <f>SUM(AD757:AO757)</f>
        <v>239912.49999999997</v>
      </c>
      <c r="AR757" s="33"/>
    </row>
    <row r="758" spans="1:44" ht="13.5" thickBot="1" x14ac:dyDescent="0.35">
      <c r="C758" s="11" t="s">
        <v>242</v>
      </c>
      <c r="D758" s="12">
        <f t="shared" ref="D758:AB758" si="475">SUM(D755:D757)</f>
        <v>0</v>
      </c>
      <c r="E758" s="12">
        <f t="shared" si="475"/>
        <v>0</v>
      </c>
      <c r="F758" s="12">
        <f t="shared" si="475"/>
        <v>0</v>
      </c>
      <c r="G758" s="12">
        <f t="shared" si="475"/>
        <v>0</v>
      </c>
      <c r="H758" s="12">
        <f t="shared" si="475"/>
        <v>0</v>
      </c>
      <c r="I758" s="12">
        <f t="shared" si="475"/>
        <v>0</v>
      </c>
      <c r="J758" s="12">
        <f t="shared" si="475"/>
        <v>21054.84</v>
      </c>
      <c r="K758" s="12">
        <f t="shared" si="475"/>
        <v>20992.34</v>
      </c>
      <c r="L758" s="12">
        <f t="shared" si="475"/>
        <v>20992.34</v>
      </c>
      <c r="M758" s="12">
        <f t="shared" si="475"/>
        <v>20992.34</v>
      </c>
      <c r="N758" s="12">
        <f t="shared" si="475"/>
        <v>20992.34</v>
      </c>
      <c r="O758" s="12">
        <f t="shared" si="475"/>
        <v>20992.36</v>
      </c>
      <c r="P758" s="12">
        <f t="shared" si="475"/>
        <v>126016.56</v>
      </c>
      <c r="Q758" s="12">
        <f t="shared" si="475"/>
        <v>20117.71</v>
      </c>
      <c r="R758" s="12">
        <f t="shared" si="475"/>
        <v>19992.71</v>
      </c>
      <c r="S758" s="12">
        <f t="shared" si="475"/>
        <v>19992.71</v>
      </c>
      <c r="T758" s="12">
        <f t="shared" si="475"/>
        <v>19992.71</v>
      </c>
      <c r="U758" s="12">
        <f t="shared" si="475"/>
        <v>19992.71</v>
      </c>
      <c r="V758" s="12">
        <f t="shared" si="475"/>
        <v>19992.7</v>
      </c>
      <c r="W758" s="12">
        <f t="shared" si="475"/>
        <v>19992.71</v>
      </c>
      <c r="X758" s="12">
        <f t="shared" si="475"/>
        <v>19992.71</v>
      </c>
      <c r="Y758" s="12">
        <f t="shared" si="475"/>
        <v>19992.71</v>
      </c>
      <c r="Z758" s="12">
        <f t="shared" si="475"/>
        <v>19992.71</v>
      </c>
      <c r="AA758" s="12">
        <f t="shared" si="475"/>
        <v>19992.71</v>
      </c>
      <c r="AB758" s="12">
        <f t="shared" si="475"/>
        <v>19992.7</v>
      </c>
      <c r="AC758" s="12">
        <f>SUM(AC755:AC757)</f>
        <v>240037.49999999997</v>
      </c>
      <c r="AD758" s="12">
        <f>SUM(AD755:AD757)</f>
        <v>20117.71</v>
      </c>
      <c r="AE758" s="12">
        <f>SUM(AE755:AE757)</f>
        <v>19992.71</v>
      </c>
      <c r="AF758" s="12">
        <f t="shared" ref="AF758:AO758" si="476">SUM(AF755:AF757)</f>
        <v>19992.71</v>
      </c>
      <c r="AG758" s="12">
        <f t="shared" si="476"/>
        <v>19992.71</v>
      </c>
      <c r="AH758" s="12">
        <f t="shared" si="476"/>
        <v>19992.71</v>
      </c>
      <c r="AI758" s="12">
        <f t="shared" si="476"/>
        <v>19992.7</v>
      </c>
      <c r="AJ758" s="12">
        <f t="shared" si="476"/>
        <v>19992.71</v>
      </c>
      <c r="AK758" s="12">
        <f t="shared" si="476"/>
        <v>19992.71</v>
      </c>
      <c r="AL758" s="12">
        <f t="shared" si="476"/>
        <v>19992.71</v>
      </c>
      <c r="AM758" s="12">
        <f t="shared" si="476"/>
        <v>19992.71</v>
      </c>
      <c r="AN758" s="12">
        <f t="shared" si="476"/>
        <v>19992.71</v>
      </c>
      <c r="AO758" s="57">
        <f t="shared" si="476"/>
        <v>19992.7</v>
      </c>
      <c r="AP758" s="12">
        <f>SUM(AP755:AP757)</f>
        <v>240037.49999999997</v>
      </c>
    </row>
    <row r="759" spans="1:44" x14ac:dyDescent="0.3">
      <c r="C759" s="13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</row>
    <row r="760" spans="1:44" ht="15.5" x14ac:dyDescent="0.35">
      <c r="A760" s="18">
        <f>A754</f>
        <v>93</v>
      </c>
      <c r="B760" s="1" t="s">
        <v>144</v>
      </c>
      <c r="C760" s="22" t="s">
        <v>243</v>
      </c>
    </row>
    <row r="761" spans="1:44" x14ac:dyDescent="0.3">
      <c r="C761" s="6" t="s">
        <v>7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0</v>
      </c>
      <c r="O761" s="10">
        <v>0</v>
      </c>
      <c r="P761" s="10">
        <f>SUM(D761:O761)</f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0</v>
      </c>
      <c r="W761" s="10">
        <v>0</v>
      </c>
      <c r="X761" s="10">
        <v>0</v>
      </c>
      <c r="Y761" s="10">
        <v>0</v>
      </c>
      <c r="Z761" s="10">
        <v>0</v>
      </c>
      <c r="AA761" s="10">
        <v>0</v>
      </c>
      <c r="AB761" s="10">
        <v>0</v>
      </c>
      <c r="AC761" s="10">
        <f>SUM(Q761:AB761)</f>
        <v>0</v>
      </c>
      <c r="AD761" s="10">
        <v>0</v>
      </c>
      <c r="AE761" s="10">
        <v>0</v>
      </c>
      <c r="AF761" s="10">
        <v>0</v>
      </c>
      <c r="AG761" s="10">
        <v>0</v>
      </c>
      <c r="AH761" s="10">
        <v>0</v>
      </c>
      <c r="AI761" s="10">
        <v>0</v>
      </c>
      <c r="AJ761" s="10">
        <v>0</v>
      </c>
      <c r="AK761" s="10">
        <v>0</v>
      </c>
      <c r="AL761" s="10">
        <v>0</v>
      </c>
      <c r="AM761" s="10">
        <v>0</v>
      </c>
      <c r="AN761" s="10">
        <v>0</v>
      </c>
      <c r="AO761" s="55">
        <v>0</v>
      </c>
      <c r="AP761" s="10">
        <f>SUM(AD761:AO761)</f>
        <v>0</v>
      </c>
    </row>
    <row r="762" spans="1:44" x14ac:dyDescent="0.3">
      <c r="C762" s="6" t="s">
        <v>8</v>
      </c>
      <c r="D762" s="9"/>
      <c r="E762" s="9"/>
      <c r="H762" s="9"/>
      <c r="J762" s="9">
        <v>62.5</v>
      </c>
      <c r="P762" s="10">
        <f>SUM(D762:O762)</f>
        <v>62.5</v>
      </c>
      <c r="Q762" s="9">
        <v>125</v>
      </c>
      <c r="AC762" s="10">
        <f>SUM(Q762:AB762)</f>
        <v>125</v>
      </c>
      <c r="AD762" s="9">
        <v>125</v>
      </c>
      <c r="AE762" s="9"/>
      <c r="AF762" s="9"/>
      <c r="AG762" s="9"/>
      <c r="AH762" s="9"/>
      <c r="AI762" s="9"/>
      <c r="AJ762" s="9"/>
      <c r="AK762" s="9"/>
      <c r="AL762" s="9"/>
      <c r="AM762" s="9"/>
      <c r="AN762" s="23"/>
      <c r="AO762" s="56"/>
      <c r="AP762" s="10">
        <f>SUM(AD762:AO762)</f>
        <v>125</v>
      </c>
    </row>
    <row r="763" spans="1:44" ht="13.5" thickBot="1" x14ac:dyDescent="0.35">
      <c r="C763" s="6" t="s">
        <v>9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4186.88</v>
      </c>
      <c r="K763" s="10">
        <v>4186.88</v>
      </c>
      <c r="L763" s="10">
        <v>4186.88</v>
      </c>
      <c r="M763" s="10">
        <v>4186.88</v>
      </c>
      <c r="N763" s="10">
        <v>4186.88</v>
      </c>
      <c r="O763" s="10">
        <v>4186.8500000000004</v>
      </c>
      <c r="P763" s="10">
        <f>SUM(D763:O763)</f>
        <v>25121.25</v>
      </c>
      <c r="Q763" s="10">
        <v>3987.5</v>
      </c>
      <c r="R763" s="10">
        <v>3987.5</v>
      </c>
      <c r="S763" s="10">
        <v>3987.5</v>
      </c>
      <c r="T763" s="10">
        <v>3987.5</v>
      </c>
      <c r="U763" s="10">
        <v>3987.5</v>
      </c>
      <c r="V763" s="10">
        <v>3987.5</v>
      </c>
      <c r="W763" s="10">
        <v>3987.5</v>
      </c>
      <c r="X763" s="10">
        <v>3987.5</v>
      </c>
      <c r="Y763" s="10">
        <v>3987.5</v>
      </c>
      <c r="Z763" s="10">
        <v>3987.5</v>
      </c>
      <c r="AA763" s="10">
        <v>3987.5</v>
      </c>
      <c r="AB763" s="10">
        <v>3987.5</v>
      </c>
      <c r="AC763" s="10">
        <f>SUM(Q763:AB763)</f>
        <v>47850</v>
      </c>
      <c r="AD763" s="10">
        <v>3987.5</v>
      </c>
      <c r="AE763" s="10">
        <v>3987.5</v>
      </c>
      <c r="AF763" s="10">
        <v>3987.5</v>
      </c>
      <c r="AG763" s="10">
        <v>3987.5</v>
      </c>
      <c r="AH763" s="10">
        <v>3987.5</v>
      </c>
      <c r="AI763" s="10">
        <v>3987.5</v>
      </c>
      <c r="AJ763" s="10">
        <v>3987.5</v>
      </c>
      <c r="AK763" s="10">
        <v>3987.5</v>
      </c>
      <c r="AL763" s="10">
        <v>3987.5</v>
      </c>
      <c r="AM763" s="10">
        <v>3987.5</v>
      </c>
      <c r="AN763" s="10">
        <v>3987.5</v>
      </c>
      <c r="AO763" s="55">
        <v>3987.5</v>
      </c>
      <c r="AP763" s="10">
        <f>SUM(AD763:AO763)</f>
        <v>47850</v>
      </c>
      <c r="AR763" s="33"/>
    </row>
    <row r="764" spans="1:44" ht="13.5" thickBot="1" x14ac:dyDescent="0.35">
      <c r="C764" s="11" t="s">
        <v>242</v>
      </c>
      <c r="D764" s="12">
        <f t="shared" ref="D764:AB764" si="477">SUM(D761:D763)</f>
        <v>0</v>
      </c>
      <c r="E764" s="12">
        <f t="shared" si="477"/>
        <v>0</v>
      </c>
      <c r="F764" s="12">
        <f t="shared" si="477"/>
        <v>0</v>
      </c>
      <c r="G764" s="12">
        <f t="shared" si="477"/>
        <v>0</v>
      </c>
      <c r="H764" s="12">
        <f t="shared" si="477"/>
        <v>0</v>
      </c>
      <c r="I764" s="12">
        <f t="shared" si="477"/>
        <v>0</v>
      </c>
      <c r="J764" s="12">
        <f t="shared" si="477"/>
        <v>4249.38</v>
      </c>
      <c r="K764" s="12">
        <f t="shared" si="477"/>
        <v>4186.88</v>
      </c>
      <c r="L764" s="12">
        <f t="shared" si="477"/>
        <v>4186.88</v>
      </c>
      <c r="M764" s="12">
        <f t="shared" si="477"/>
        <v>4186.88</v>
      </c>
      <c r="N764" s="12">
        <f t="shared" si="477"/>
        <v>4186.88</v>
      </c>
      <c r="O764" s="12">
        <f t="shared" si="477"/>
        <v>4186.8500000000004</v>
      </c>
      <c r="P764" s="12">
        <f t="shared" si="477"/>
        <v>25183.75</v>
      </c>
      <c r="Q764" s="12">
        <f t="shared" si="477"/>
        <v>4112.5</v>
      </c>
      <c r="R764" s="12">
        <f t="shared" si="477"/>
        <v>3987.5</v>
      </c>
      <c r="S764" s="12">
        <f t="shared" si="477"/>
        <v>3987.5</v>
      </c>
      <c r="T764" s="12">
        <f t="shared" si="477"/>
        <v>3987.5</v>
      </c>
      <c r="U764" s="12">
        <f t="shared" si="477"/>
        <v>3987.5</v>
      </c>
      <c r="V764" s="12">
        <f t="shared" si="477"/>
        <v>3987.5</v>
      </c>
      <c r="W764" s="12">
        <f t="shared" si="477"/>
        <v>3987.5</v>
      </c>
      <c r="X764" s="12">
        <f t="shared" si="477"/>
        <v>3987.5</v>
      </c>
      <c r="Y764" s="12">
        <f t="shared" si="477"/>
        <v>3987.5</v>
      </c>
      <c r="Z764" s="12">
        <f t="shared" si="477"/>
        <v>3987.5</v>
      </c>
      <c r="AA764" s="12">
        <f t="shared" si="477"/>
        <v>3987.5</v>
      </c>
      <c r="AB764" s="12">
        <f t="shared" si="477"/>
        <v>3987.5</v>
      </c>
      <c r="AC764" s="12">
        <f>SUM(AC761:AC763)</f>
        <v>47975</v>
      </c>
      <c r="AD764" s="12">
        <f>SUM(AD761:AD763)</f>
        <v>4112.5</v>
      </c>
      <c r="AE764" s="12">
        <f>SUM(AE761:AE763)</f>
        <v>3987.5</v>
      </c>
      <c r="AF764" s="12">
        <f t="shared" ref="AF764:AO764" si="478">SUM(AF761:AF763)</f>
        <v>3987.5</v>
      </c>
      <c r="AG764" s="12">
        <f t="shared" si="478"/>
        <v>3987.5</v>
      </c>
      <c r="AH764" s="12">
        <f t="shared" si="478"/>
        <v>3987.5</v>
      </c>
      <c r="AI764" s="12">
        <f t="shared" si="478"/>
        <v>3987.5</v>
      </c>
      <c r="AJ764" s="12">
        <f t="shared" si="478"/>
        <v>3987.5</v>
      </c>
      <c r="AK764" s="12">
        <f t="shared" si="478"/>
        <v>3987.5</v>
      </c>
      <c r="AL764" s="12">
        <f t="shared" si="478"/>
        <v>3987.5</v>
      </c>
      <c r="AM764" s="12">
        <f t="shared" si="478"/>
        <v>3987.5</v>
      </c>
      <c r="AN764" s="12">
        <f t="shared" si="478"/>
        <v>3987.5</v>
      </c>
      <c r="AO764" s="57">
        <f t="shared" si="478"/>
        <v>3987.5</v>
      </c>
      <c r="AP764" s="12">
        <f>SUM(AP761:AP763)</f>
        <v>47975</v>
      </c>
    </row>
    <row r="765" spans="1:44" x14ac:dyDescent="0.3">
      <c r="C765" s="13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</row>
    <row r="766" spans="1:44" ht="15.5" x14ac:dyDescent="0.35">
      <c r="A766" s="18">
        <f>+A760+1</f>
        <v>94</v>
      </c>
      <c r="C766" s="22" t="s">
        <v>244</v>
      </c>
    </row>
    <row r="767" spans="1:44" x14ac:dyDescent="0.3">
      <c r="C767" s="6" t="s">
        <v>7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0</v>
      </c>
      <c r="O767" s="10">
        <v>0</v>
      </c>
      <c r="P767" s="10">
        <f>SUM(D767:O767)</f>
        <v>0</v>
      </c>
      <c r="Q767" s="10">
        <v>0</v>
      </c>
      <c r="R767" s="10">
        <v>0</v>
      </c>
      <c r="S767" s="10">
        <v>0</v>
      </c>
      <c r="T767" s="10">
        <v>0</v>
      </c>
      <c r="U767" s="10">
        <v>0</v>
      </c>
      <c r="V767" s="10">
        <v>0</v>
      </c>
      <c r="W767" s="10">
        <v>0</v>
      </c>
      <c r="X767" s="10">
        <v>0</v>
      </c>
      <c r="Y767" s="10">
        <v>0</v>
      </c>
      <c r="Z767" s="10">
        <v>0</v>
      </c>
      <c r="AA767" s="10">
        <v>0</v>
      </c>
      <c r="AB767" s="10">
        <v>0</v>
      </c>
      <c r="AC767" s="10">
        <f>SUM(Q767:AB767)</f>
        <v>0</v>
      </c>
      <c r="AD767" s="10">
        <v>0</v>
      </c>
      <c r="AE767" s="10">
        <v>0</v>
      </c>
      <c r="AF767" s="10">
        <v>0</v>
      </c>
      <c r="AG767" s="10">
        <v>0</v>
      </c>
      <c r="AH767" s="10">
        <v>0</v>
      </c>
      <c r="AI767" s="10">
        <v>0</v>
      </c>
      <c r="AJ767" s="10">
        <v>0</v>
      </c>
      <c r="AK767" s="10">
        <v>0</v>
      </c>
      <c r="AL767" s="10">
        <v>0</v>
      </c>
      <c r="AM767" s="10">
        <v>0</v>
      </c>
      <c r="AN767" s="10">
        <v>0</v>
      </c>
      <c r="AO767" s="55">
        <v>0</v>
      </c>
      <c r="AP767" s="10">
        <f>SUM(AD767:AO767)</f>
        <v>0</v>
      </c>
    </row>
    <row r="768" spans="1:44" x14ac:dyDescent="0.3">
      <c r="C768" s="6" t="s">
        <v>8</v>
      </c>
      <c r="D768" s="9"/>
      <c r="E768" s="9"/>
      <c r="H768" s="9"/>
      <c r="J768" s="9">
        <v>125</v>
      </c>
      <c r="P768" s="10">
        <f>SUM(D768:O768)</f>
        <v>125</v>
      </c>
      <c r="Q768" s="9">
        <v>250</v>
      </c>
      <c r="AC768" s="10">
        <f>SUM(Q768:AB768)</f>
        <v>250</v>
      </c>
      <c r="AD768" s="9">
        <v>250</v>
      </c>
      <c r="AE768" s="9"/>
      <c r="AF768" s="9"/>
      <c r="AG768" s="9"/>
      <c r="AH768" s="9"/>
      <c r="AI768" s="9"/>
      <c r="AJ768" s="9"/>
      <c r="AK768" s="9"/>
      <c r="AL768" s="9"/>
      <c r="AM768" s="9"/>
      <c r="AN768" s="23"/>
      <c r="AO768" s="56"/>
      <c r="AP768" s="10">
        <f>SUM(AD768:AO768)</f>
        <v>250</v>
      </c>
    </row>
    <row r="769" spans="1:44" ht="13.5" thickBot="1" x14ac:dyDescent="0.35">
      <c r="C769" s="6" t="s">
        <v>9</v>
      </c>
      <c r="D769" s="10">
        <v>0</v>
      </c>
      <c r="E769" s="10">
        <v>0</v>
      </c>
      <c r="F769" s="10">
        <v>0</v>
      </c>
      <c r="G769" s="10">
        <v>0</v>
      </c>
      <c r="H769" s="10">
        <v>0</v>
      </c>
      <c r="I769" s="10">
        <v>0</v>
      </c>
      <c r="J769" s="10">
        <f>22500+79317.45</f>
        <v>101817.45</v>
      </c>
      <c r="K769" s="10">
        <f>22500+79317.45</f>
        <v>101817.45</v>
      </c>
      <c r="L769" s="10">
        <f>22500+79317.45</f>
        <v>101817.45</v>
      </c>
      <c r="M769" s="10">
        <f>22500+79317.45</f>
        <v>101817.45</v>
      </c>
      <c r="N769" s="10">
        <f>22500+79317.45</f>
        <v>101817.45</v>
      </c>
      <c r="O769" s="10">
        <f>22500+79317.47</f>
        <v>101817.47</v>
      </c>
      <c r="P769" s="10">
        <f>SUM(D769:O769)</f>
        <v>610904.72</v>
      </c>
      <c r="Q769" s="9">
        <f>23750+77883.33</f>
        <v>101633.33</v>
      </c>
      <c r="R769" s="9">
        <f t="shared" ref="R769:AA769" si="479">23750+77883.33</f>
        <v>101633.33</v>
      </c>
      <c r="S769" s="9">
        <f t="shared" si="479"/>
        <v>101633.33</v>
      </c>
      <c r="T769" s="9">
        <f t="shared" si="479"/>
        <v>101633.33</v>
      </c>
      <c r="U769" s="9">
        <f t="shared" si="479"/>
        <v>101633.33</v>
      </c>
      <c r="V769" s="9">
        <f>23750+77883.35</f>
        <v>101633.35</v>
      </c>
      <c r="W769" s="9">
        <f t="shared" si="479"/>
        <v>101633.33</v>
      </c>
      <c r="X769" s="9">
        <f t="shared" si="479"/>
        <v>101633.33</v>
      </c>
      <c r="Y769" s="9">
        <f t="shared" si="479"/>
        <v>101633.33</v>
      </c>
      <c r="Z769" s="9">
        <f t="shared" si="479"/>
        <v>101633.33</v>
      </c>
      <c r="AA769" s="9">
        <f t="shared" si="479"/>
        <v>101633.33</v>
      </c>
      <c r="AB769" s="9">
        <f>23750+77883.35</f>
        <v>101633.35</v>
      </c>
      <c r="AC769" s="10">
        <f>SUM(Q769:AB769)</f>
        <v>1219600</v>
      </c>
      <c r="AD769" s="10">
        <f>25000+76695.83</f>
        <v>101695.83</v>
      </c>
      <c r="AE769" s="10">
        <f t="shared" ref="AE769:AN769" si="480">25000+76695.83</f>
        <v>101695.83</v>
      </c>
      <c r="AF769" s="10">
        <f t="shared" si="480"/>
        <v>101695.83</v>
      </c>
      <c r="AG769" s="10">
        <f t="shared" si="480"/>
        <v>101695.83</v>
      </c>
      <c r="AH769" s="10">
        <f t="shared" si="480"/>
        <v>101695.83</v>
      </c>
      <c r="AI769" s="10">
        <f>25000+76695.85</f>
        <v>101695.85</v>
      </c>
      <c r="AJ769" s="10">
        <f t="shared" si="480"/>
        <v>101695.83</v>
      </c>
      <c r="AK769" s="10">
        <f t="shared" si="480"/>
        <v>101695.83</v>
      </c>
      <c r="AL769" s="10">
        <f t="shared" si="480"/>
        <v>101695.83</v>
      </c>
      <c r="AM769" s="10">
        <f t="shared" si="480"/>
        <v>101695.83</v>
      </c>
      <c r="AN769" s="10">
        <f t="shared" si="480"/>
        <v>101695.83</v>
      </c>
      <c r="AO769" s="55">
        <f>25000+76695.85</f>
        <v>101695.85</v>
      </c>
      <c r="AP769" s="10">
        <f>SUM(AD769:AO769)</f>
        <v>1220350</v>
      </c>
      <c r="AR769" s="33"/>
    </row>
    <row r="770" spans="1:44" ht="13.5" thickBot="1" x14ac:dyDescent="0.35">
      <c r="C770" s="11" t="s">
        <v>245</v>
      </c>
      <c r="D770" s="12">
        <f t="shared" ref="D770:AB770" si="481">SUM(D767:D769)</f>
        <v>0</v>
      </c>
      <c r="E770" s="12">
        <f t="shared" si="481"/>
        <v>0</v>
      </c>
      <c r="F770" s="12">
        <f t="shared" si="481"/>
        <v>0</v>
      </c>
      <c r="G770" s="12">
        <f t="shared" si="481"/>
        <v>0</v>
      </c>
      <c r="H770" s="12">
        <f t="shared" si="481"/>
        <v>0</v>
      </c>
      <c r="I770" s="12">
        <f t="shared" si="481"/>
        <v>0</v>
      </c>
      <c r="J770" s="12">
        <f t="shared" si="481"/>
        <v>101942.45</v>
      </c>
      <c r="K770" s="12">
        <f t="shared" si="481"/>
        <v>101817.45</v>
      </c>
      <c r="L770" s="12">
        <f t="shared" si="481"/>
        <v>101817.45</v>
      </c>
      <c r="M770" s="12">
        <f t="shared" si="481"/>
        <v>101817.45</v>
      </c>
      <c r="N770" s="12">
        <f t="shared" si="481"/>
        <v>101817.45</v>
      </c>
      <c r="O770" s="12">
        <f t="shared" si="481"/>
        <v>101817.47</v>
      </c>
      <c r="P770" s="12">
        <f t="shared" si="481"/>
        <v>611029.72</v>
      </c>
      <c r="Q770" s="12">
        <f t="shared" si="481"/>
        <v>101883.33</v>
      </c>
      <c r="R770" s="12">
        <f t="shared" si="481"/>
        <v>101633.33</v>
      </c>
      <c r="S770" s="12">
        <f t="shared" si="481"/>
        <v>101633.33</v>
      </c>
      <c r="T770" s="12">
        <f t="shared" si="481"/>
        <v>101633.33</v>
      </c>
      <c r="U770" s="12">
        <f t="shared" si="481"/>
        <v>101633.33</v>
      </c>
      <c r="V770" s="12">
        <f t="shared" si="481"/>
        <v>101633.35</v>
      </c>
      <c r="W770" s="12">
        <f t="shared" si="481"/>
        <v>101633.33</v>
      </c>
      <c r="X770" s="12">
        <f t="shared" si="481"/>
        <v>101633.33</v>
      </c>
      <c r="Y770" s="12">
        <f t="shared" si="481"/>
        <v>101633.33</v>
      </c>
      <c r="Z770" s="12">
        <f t="shared" si="481"/>
        <v>101633.33</v>
      </c>
      <c r="AA770" s="12">
        <f t="shared" si="481"/>
        <v>101633.33</v>
      </c>
      <c r="AB770" s="12">
        <f t="shared" si="481"/>
        <v>101633.35</v>
      </c>
      <c r="AC770" s="12">
        <f>SUM(AC767:AC769)</f>
        <v>1219850</v>
      </c>
      <c r="AD770" s="12">
        <f>SUM(AD767:AD769)</f>
        <v>101945.83</v>
      </c>
      <c r="AE770" s="12">
        <f>SUM(AE767:AE769)</f>
        <v>101695.83</v>
      </c>
      <c r="AF770" s="12">
        <f t="shared" ref="AF770:AO770" si="482">SUM(AF767:AF769)</f>
        <v>101695.83</v>
      </c>
      <c r="AG770" s="12">
        <f t="shared" si="482"/>
        <v>101695.83</v>
      </c>
      <c r="AH770" s="12">
        <f t="shared" si="482"/>
        <v>101695.83</v>
      </c>
      <c r="AI770" s="12">
        <f t="shared" si="482"/>
        <v>101695.85</v>
      </c>
      <c r="AJ770" s="12">
        <f t="shared" si="482"/>
        <v>101695.83</v>
      </c>
      <c r="AK770" s="12">
        <f t="shared" si="482"/>
        <v>101695.83</v>
      </c>
      <c r="AL770" s="12">
        <f t="shared" si="482"/>
        <v>101695.83</v>
      </c>
      <c r="AM770" s="12">
        <f t="shared" si="482"/>
        <v>101695.83</v>
      </c>
      <c r="AN770" s="12">
        <f t="shared" si="482"/>
        <v>101695.83</v>
      </c>
      <c r="AO770" s="57">
        <f t="shared" si="482"/>
        <v>101695.85</v>
      </c>
      <c r="AP770" s="12">
        <f>SUM(AP767:AP769)</f>
        <v>1220600</v>
      </c>
    </row>
    <row r="771" spans="1:44" x14ac:dyDescent="0.3">
      <c r="C771" s="13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</row>
    <row r="772" spans="1:44" ht="15.5" x14ac:dyDescent="0.35">
      <c r="A772" s="18">
        <f>+A766+1</f>
        <v>95</v>
      </c>
      <c r="C772" s="22" t="s">
        <v>246</v>
      </c>
    </row>
    <row r="773" spans="1:44" x14ac:dyDescent="0.3">
      <c r="C773" s="6" t="s">
        <v>7</v>
      </c>
      <c r="D773" s="10">
        <v>0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f>SUM(D773:O773)</f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f>SUM(Q773:AB773)</f>
        <v>0</v>
      </c>
      <c r="AD773" s="10">
        <v>0</v>
      </c>
      <c r="AE773" s="10">
        <v>0</v>
      </c>
      <c r="AF773" s="10">
        <v>0</v>
      </c>
      <c r="AG773" s="10">
        <v>0</v>
      </c>
      <c r="AH773" s="10">
        <v>0</v>
      </c>
      <c r="AI773" s="10">
        <v>0</v>
      </c>
      <c r="AJ773" s="10">
        <v>0</v>
      </c>
      <c r="AK773" s="10">
        <v>0</v>
      </c>
      <c r="AL773" s="10">
        <v>0</v>
      </c>
      <c r="AM773" s="10">
        <v>0</v>
      </c>
      <c r="AN773" s="10">
        <v>0</v>
      </c>
      <c r="AO773" s="55">
        <v>0</v>
      </c>
      <c r="AP773" s="10">
        <f>SUM(AD773:AO773)</f>
        <v>0</v>
      </c>
    </row>
    <row r="774" spans="1:44" x14ac:dyDescent="0.3">
      <c r="C774" s="6" t="s">
        <v>8</v>
      </c>
      <c r="D774" s="9"/>
      <c r="E774" s="9"/>
      <c r="H774" s="9"/>
      <c r="J774" s="9"/>
      <c r="K774" s="9">
        <v>104.17</v>
      </c>
      <c r="P774" s="10">
        <f>SUM(D774:O774)</f>
        <v>104.17</v>
      </c>
      <c r="Q774" s="9">
        <v>250</v>
      </c>
      <c r="AC774" s="10">
        <f>SUM(Q774:AB774)</f>
        <v>250</v>
      </c>
      <c r="AD774" s="9">
        <v>250</v>
      </c>
      <c r="AE774" s="9"/>
      <c r="AF774" s="9"/>
      <c r="AG774" s="9"/>
      <c r="AH774" s="9"/>
      <c r="AI774" s="9"/>
      <c r="AJ774" s="9"/>
      <c r="AK774" s="9"/>
      <c r="AL774" s="9"/>
      <c r="AM774" s="9"/>
      <c r="AN774" s="23"/>
      <c r="AO774" s="56"/>
      <c r="AP774" s="10">
        <f>SUM(AD774:AO774)</f>
        <v>250</v>
      </c>
    </row>
    <row r="775" spans="1:44" ht="13.5" thickBot="1" x14ac:dyDescent="0.35">
      <c r="C775" s="6" t="s">
        <v>9</v>
      </c>
      <c r="D775" s="10">
        <v>0</v>
      </c>
      <c r="E775" s="10">
        <v>0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39475.339999999997</v>
      </c>
      <c r="L775" s="10">
        <v>39475.339999999997</v>
      </c>
      <c r="M775" s="10">
        <v>39475.339999999997</v>
      </c>
      <c r="N775" s="10">
        <v>39475.339999999997</v>
      </c>
      <c r="O775" s="10">
        <v>39475.31</v>
      </c>
      <c r="P775" s="10">
        <f>SUM(D775:O775)</f>
        <v>197376.66999999998</v>
      </c>
      <c r="Q775" s="10">
        <v>38450</v>
      </c>
      <c r="R775" s="10">
        <v>38450</v>
      </c>
      <c r="S775" s="10">
        <v>38450</v>
      </c>
      <c r="T775" s="10">
        <v>38450</v>
      </c>
      <c r="U775" s="10">
        <v>38450</v>
      </c>
      <c r="V775" s="10">
        <v>38450</v>
      </c>
      <c r="W775" s="10">
        <f t="shared" ref="W775:AH775" si="483">10416.67+38450</f>
        <v>48866.67</v>
      </c>
      <c r="X775" s="10">
        <f t="shared" si="483"/>
        <v>48866.67</v>
      </c>
      <c r="Y775" s="10">
        <f t="shared" si="483"/>
        <v>48866.67</v>
      </c>
      <c r="Z775" s="10">
        <f t="shared" si="483"/>
        <v>48866.67</v>
      </c>
      <c r="AA775" s="10">
        <f t="shared" si="483"/>
        <v>48866.67</v>
      </c>
      <c r="AB775" s="10">
        <f t="shared" si="483"/>
        <v>48866.67</v>
      </c>
      <c r="AC775" s="10">
        <f>SUM(Q775:AB775)</f>
        <v>523900.0199999999</v>
      </c>
      <c r="AD775" s="10">
        <f t="shared" si="483"/>
        <v>48866.67</v>
      </c>
      <c r="AE775" s="10">
        <f t="shared" si="483"/>
        <v>48866.67</v>
      </c>
      <c r="AF775" s="10">
        <f t="shared" si="483"/>
        <v>48866.67</v>
      </c>
      <c r="AG775" s="10">
        <f t="shared" si="483"/>
        <v>48866.67</v>
      </c>
      <c r="AH775" s="10">
        <f t="shared" si="483"/>
        <v>48866.67</v>
      </c>
      <c r="AI775" s="10">
        <f>10416.63+38450</f>
        <v>48866.63</v>
      </c>
      <c r="AJ775" s="10">
        <f t="shared" ref="AJ775:AO775" si="484">10833.34+38033.34</f>
        <v>48866.679999999993</v>
      </c>
      <c r="AK775" s="10">
        <f t="shared" si="484"/>
        <v>48866.679999999993</v>
      </c>
      <c r="AL775" s="10">
        <f t="shared" si="484"/>
        <v>48866.679999999993</v>
      </c>
      <c r="AM775" s="10">
        <f t="shared" si="484"/>
        <v>48866.679999999993</v>
      </c>
      <c r="AN775" s="10">
        <f t="shared" si="484"/>
        <v>48866.679999999993</v>
      </c>
      <c r="AO775" s="55">
        <f t="shared" si="484"/>
        <v>48866.679999999993</v>
      </c>
      <c r="AP775" s="10">
        <f>SUM(AD775:AO775)</f>
        <v>586400.05999999982</v>
      </c>
      <c r="AR775" s="33"/>
    </row>
    <row r="776" spans="1:44" ht="13.5" thickBot="1" x14ac:dyDescent="0.35">
      <c r="C776" s="11" t="s">
        <v>178</v>
      </c>
      <c r="D776" s="12">
        <f t="shared" ref="D776:AB776" si="485">SUM(D773:D775)</f>
        <v>0</v>
      </c>
      <c r="E776" s="12">
        <f t="shared" si="485"/>
        <v>0</v>
      </c>
      <c r="F776" s="12">
        <f t="shared" si="485"/>
        <v>0</v>
      </c>
      <c r="G776" s="12">
        <f t="shared" si="485"/>
        <v>0</v>
      </c>
      <c r="H776" s="12">
        <f t="shared" si="485"/>
        <v>0</v>
      </c>
      <c r="I776" s="12">
        <f t="shared" si="485"/>
        <v>0</v>
      </c>
      <c r="J776" s="12">
        <f t="shared" si="485"/>
        <v>0</v>
      </c>
      <c r="K776" s="12">
        <f t="shared" si="485"/>
        <v>39579.509999999995</v>
      </c>
      <c r="L776" s="12">
        <f t="shared" si="485"/>
        <v>39475.339999999997</v>
      </c>
      <c r="M776" s="12">
        <f t="shared" si="485"/>
        <v>39475.339999999997</v>
      </c>
      <c r="N776" s="12">
        <f t="shared" si="485"/>
        <v>39475.339999999997</v>
      </c>
      <c r="O776" s="12">
        <f t="shared" si="485"/>
        <v>39475.31</v>
      </c>
      <c r="P776" s="12">
        <f t="shared" si="485"/>
        <v>197480.84</v>
      </c>
      <c r="Q776" s="12">
        <f t="shared" si="485"/>
        <v>38700</v>
      </c>
      <c r="R776" s="12">
        <f t="shared" si="485"/>
        <v>38450</v>
      </c>
      <c r="S776" s="12">
        <f t="shared" si="485"/>
        <v>38450</v>
      </c>
      <c r="T776" s="12">
        <f t="shared" si="485"/>
        <v>38450</v>
      </c>
      <c r="U776" s="12">
        <f t="shared" si="485"/>
        <v>38450</v>
      </c>
      <c r="V776" s="12">
        <f t="shared" si="485"/>
        <v>38450</v>
      </c>
      <c r="W776" s="12">
        <f t="shared" si="485"/>
        <v>48866.67</v>
      </c>
      <c r="X776" s="12">
        <f t="shared" si="485"/>
        <v>48866.67</v>
      </c>
      <c r="Y776" s="12">
        <f t="shared" si="485"/>
        <v>48866.67</v>
      </c>
      <c r="Z776" s="12">
        <f t="shared" si="485"/>
        <v>48866.67</v>
      </c>
      <c r="AA776" s="12">
        <f t="shared" si="485"/>
        <v>48866.67</v>
      </c>
      <c r="AB776" s="12">
        <f t="shared" si="485"/>
        <v>48866.67</v>
      </c>
      <c r="AC776" s="12">
        <f>SUM(AC773:AC775)</f>
        <v>524150.0199999999</v>
      </c>
      <c r="AD776" s="12">
        <f>SUM(AD773:AD775)</f>
        <v>49116.67</v>
      </c>
      <c r="AE776" s="12">
        <f>SUM(AE773:AE775)</f>
        <v>48866.67</v>
      </c>
      <c r="AF776" s="12">
        <f t="shared" ref="AF776:AO776" si="486">SUM(AF773:AF775)</f>
        <v>48866.67</v>
      </c>
      <c r="AG776" s="12">
        <f t="shared" si="486"/>
        <v>48866.67</v>
      </c>
      <c r="AH776" s="12">
        <f t="shared" si="486"/>
        <v>48866.67</v>
      </c>
      <c r="AI776" s="12">
        <f t="shared" si="486"/>
        <v>48866.63</v>
      </c>
      <c r="AJ776" s="12">
        <f t="shared" si="486"/>
        <v>48866.679999999993</v>
      </c>
      <c r="AK776" s="12">
        <f t="shared" si="486"/>
        <v>48866.679999999993</v>
      </c>
      <c r="AL776" s="12">
        <f t="shared" si="486"/>
        <v>48866.679999999993</v>
      </c>
      <c r="AM776" s="12">
        <f t="shared" si="486"/>
        <v>48866.679999999993</v>
      </c>
      <c r="AN776" s="12">
        <f t="shared" si="486"/>
        <v>48866.679999999993</v>
      </c>
      <c r="AO776" s="57">
        <f t="shared" si="486"/>
        <v>48866.679999999993</v>
      </c>
      <c r="AP776" s="12">
        <f>SUM(AP773:AP775)</f>
        <v>586650.05999999982</v>
      </c>
    </row>
    <row r="777" spans="1:44" x14ac:dyDescent="0.3">
      <c r="C777" s="13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</row>
    <row r="778" spans="1:44" ht="15.5" x14ac:dyDescent="0.35">
      <c r="A778" s="18">
        <f>+A772+1</f>
        <v>96</v>
      </c>
      <c r="C778" s="22" t="s">
        <v>247</v>
      </c>
    </row>
    <row r="779" spans="1:44" x14ac:dyDescent="0.3">
      <c r="C779" s="6" t="s">
        <v>7</v>
      </c>
      <c r="D779" s="10">
        <v>0</v>
      </c>
      <c r="E779" s="10">
        <v>0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820.91</v>
      </c>
      <c r="L779" s="10">
        <v>820.91</v>
      </c>
      <c r="M779" s="10">
        <v>820.91</v>
      </c>
      <c r="N779" s="10">
        <v>820.91</v>
      </c>
      <c r="O779" s="10">
        <v>820.91</v>
      </c>
      <c r="P779" s="10">
        <f>SUM(D779:O779)</f>
        <v>4104.55</v>
      </c>
      <c r="Q779" s="10">
        <v>820.91</v>
      </c>
      <c r="R779" s="10">
        <v>820.91</v>
      </c>
      <c r="S779" s="10">
        <v>820.91</v>
      </c>
      <c r="T779" s="10">
        <v>820.91</v>
      </c>
      <c r="U779" s="10">
        <v>820.91</v>
      </c>
      <c r="V779" s="10">
        <v>820.91</v>
      </c>
      <c r="W779" s="10">
        <v>752.5</v>
      </c>
      <c r="X779" s="10">
        <v>752.5</v>
      </c>
      <c r="Y779" s="10">
        <v>752.5</v>
      </c>
      <c r="Z779" s="10">
        <v>752.5</v>
      </c>
      <c r="AA779" s="10">
        <v>752.5</v>
      </c>
      <c r="AB779" s="10">
        <v>752.5</v>
      </c>
      <c r="AC779" s="10">
        <f>SUM(Q779:AB779)</f>
        <v>9440.4599999999991</v>
      </c>
      <c r="AD779" s="10">
        <v>752.5</v>
      </c>
      <c r="AE779" s="10">
        <v>752.5</v>
      </c>
      <c r="AF779" s="10">
        <v>752.5</v>
      </c>
      <c r="AG779" s="10">
        <v>752.5</v>
      </c>
      <c r="AH779" s="10">
        <v>752.5</v>
      </c>
      <c r="AI779" s="10">
        <v>752.5</v>
      </c>
      <c r="AJ779" s="10">
        <v>741.25</v>
      </c>
      <c r="AK779" s="10">
        <v>741.25</v>
      </c>
      <c r="AL779" s="10">
        <v>741.25</v>
      </c>
      <c r="AM779" s="10">
        <v>741.25</v>
      </c>
      <c r="AN779" s="10">
        <v>741.25</v>
      </c>
      <c r="AO779" s="55">
        <v>741.25</v>
      </c>
      <c r="AP779" s="10">
        <f>SUM(AD779:AO779)</f>
        <v>8962.5</v>
      </c>
    </row>
    <row r="780" spans="1:44" x14ac:dyDescent="0.3">
      <c r="C780" s="6" t="s">
        <v>8</v>
      </c>
      <c r="D780" s="9"/>
      <c r="E780" s="9"/>
      <c r="H780" s="9"/>
      <c r="J780" s="9"/>
      <c r="K780" s="9">
        <v>104.17</v>
      </c>
      <c r="P780" s="10">
        <f>SUM(D780:O780)</f>
        <v>104.17</v>
      </c>
      <c r="Q780" s="9">
        <v>250</v>
      </c>
      <c r="AC780" s="10">
        <f>SUM(Q780:AB780)</f>
        <v>250</v>
      </c>
      <c r="AD780" s="9">
        <v>250</v>
      </c>
      <c r="AE780" s="9"/>
      <c r="AF780" s="9"/>
      <c r="AG780" s="9"/>
      <c r="AH780" s="9"/>
      <c r="AI780" s="9"/>
      <c r="AJ780" s="9"/>
      <c r="AK780" s="9"/>
      <c r="AL780" s="9"/>
      <c r="AM780" s="9"/>
      <c r="AN780" s="23"/>
      <c r="AO780" s="56"/>
      <c r="AP780" s="10">
        <f>SUM(AD780:AO780)</f>
        <v>250</v>
      </c>
    </row>
    <row r="781" spans="1:44" ht="13.5" thickBot="1" x14ac:dyDescent="0.35">
      <c r="C781" s="6" t="s">
        <v>9</v>
      </c>
      <c r="D781" s="10">
        <v>0</v>
      </c>
      <c r="E781" s="10">
        <v>0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31994.28</v>
      </c>
      <c r="L781" s="10">
        <v>31994.28</v>
      </c>
      <c r="M781" s="10">
        <v>31994.28</v>
      </c>
      <c r="N781" s="10">
        <v>31994.28</v>
      </c>
      <c r="O781" s="10">
        <v>31994.27</v>
      </c>
      <c r="P781" s="10">
        <f>SUM(D781:O781)</f>
        <v>159971.38999999998</v>
      </c>
      <c r="Q781" s="9">
        <f>11250+29808.33</f>
        <v>41058.33</v>
      </c>
      <c r="R781" s="9">
        <f t="shared" ref="R781:AA781" si="487">11250+29808.33</f>
        <v>41058.33</v>
      </c>
      <c r="S781" s="9">
        <f t="shared" si="487"/>
        <v>41058.33</v>
      </c>
      <c r="T781" s="9">
        <f t="shared" si="487"/>
        <v>41058.33</v>
      </c>
      <c r="U781" s="9">
        <f t="shared" si="487"/>
        <v>41058.33</v>
      </c>
      <c r="V781" s="9">
        <f>11250+29808.35</f>
        <v>41058.35</v>
      </c>
      <c r="W781" s="9">
        <f t="shared" si="487"/>
        <v>41058.33</v>
      </c>
      <c r="X781" s="9">
        <f t="shared" si="487"/>
        <v>41058.33</v>
      </c>
      <c r="Y781" s="9">
        <f t="shared" si="487"/>
        <v>41058.33</v>
      </c>
      <c r="Z781" s="9">
        <f t="shared" si="487"/>
        <v>41058.33</v>
      </c>
      <c r="AA781" s="9">
        <f t="shared" si="487"/>
        <v>41058.33</v>
      </c>
      <c r="AB781" s="9">
        <f>11250+29808.35</f>
        <v>41058.35</v>
      </c>
      <c r="AC781" s="10">
        <f>SUM(Q781:AB781)</f>
        <v>492700.00000000006</v>
      </c>
      <c r="AD781" s="10">
        <f>11666.67+29639.58</f>
        <v>41306.25</v>
      </c>
      <c r="AE781" s="10">
        <f t="shared" ref="AE781:AN781" si="488">11666.67+29639.58</f>
        <v>41306.25</v>
      </c>
      <c r="AF781" s="10">
        <f t="shared" si="488"/>
        <v>41306.25</v>
      </c>
      <c r="AG781" s="10">
        <f t="shared" si="488"/>
        <v>41306.25</v>
      </c>
      <c r="AH781" s="10">
        <f t="shared" si="488"/>
        <v>41306.25</v>
      </c>
      <c r="AI781" s="10">
        <f>11666.67+29639.6</f>
        <v>41306.269999999997</v>
      </c>
      <c r="AJ781" s="10">
        <f t="shared" si="488"/>
        <v>41306.25</v>
      </c>
      <c r="AK781" s="10">
        <f t="shared" si="488"/>
        <v>41306.25</v>
      </c>
      <c r="AL781" s="10">
        <f t="shared" si="488"/>
        <v>41306.25</v>
      </c>
      <c r="AM781" s="10">
        <f t="shared" si="488"/>
        <v>41306.25</v>
      </c>
      <c r="AN781" s="10">
        <f t="shared" si="488"/>
        <v>41306.25</v>
      </c>
      <c r="AO781" s="55">
        <f>11666.63+29639.6</f>
        <v>41306.229999999996</v>
      </c>
      <c r="AP781" s="10">
        <f>SUM(AD781:AO781)</f>
        <v>495675</v>
      </c>
      <c r="AR781" s="33"/>
    </row>
    <row r="782" spans="1:44" ht="13.5" thickBot="1" x14ac:dyDescent="0.35">
      <c r="C782" s="11" t="s">
        <v>248</v>
      </c>
      <c r="D782" s="12">
        <f t="shared" ref="D782:AB782" si="489">SUM(D779:D781)</f>
        <v>0</v>
      </c>
      <c r="E782" s="12">
        <f t="shared" si="489"/>
        <v>0</v>
      </c>
      <c r="F782" s="12">
        <f t="shared" si="489"/>
        <v>0</v>
      </c>
      <c r="G782" s="12">
        <f t="shared" si="489"/>
        <v>0</v>
      </c>
      <c r="H782" s="12">
        <f t="shared" si="489"/>
        <v>0</v>
      </c>
      <c r="I782" s="12">
        <f t="shared" si="489"/>
        <v>0</v>
      </c>
      <c r="J782" s="12">
        <f t="shared" si="489"/>
        <v>0</v>
      </c>
      <c r="K782" s="12">
        <f t="shared" si="489"/>
        <v>32919.360000000001</v>
      </c>
      <c r="L782" s="12">
        <f t="shared" si="489"/>
        <v>32815.19</v>
      </c>
      <c r="M782" s="12">
        <f t="shared" si="489"/>
        <v>32815.19</v>
      </c>
      <c r="N782" s="12">
        <f t="shared" si="489"/>
        <v>32815.19</v>
      </c>
      <c r="O782" s="12">
        <f t="shared" si="489"/>
        <v>32815.18</v>
      </c>
      <c r="P782" s="12">
        <f t="shared" si="489"/>
        <v>164180.10999999999</v>
      </c>
      <c r="Q782" s="12">
        <f t="shared" si="489"/>
        <v>42129.240000000005</v>
      </c>
      <c r="R782" s="12">
        <f t="shared" si="489"/>
        <v>41879.240000000005</v>
      </c>
      <c r="S782" s="12">
        <f t="shared" si="489"/>
        <v>41879.240000000005</v>
      </c>
      <c r="T782" s="12">
        <f t="shared" si="489"/>
        <v>41879.240000000005</v>
      </c>
      <c r="U782" s="12">
        <f t="shared" si="489"/>
        <v>41879.240000000005</v>
      </c>
      <c r="V782" s="12">
        <f t="shared" si="489"/>
        <v>41879.26</v>
      </c>
      <c r="W782" s="12">
        <f t="shared" si="489"/>
        <v>41810.83</v>
      </c>
      <c r="X782" s="12">
        <f t="shared" si="489"/>
        <v>41810.83</v>
      </c>
      <c r="Y782" s="12">
        <f t="shared" si="489"/>
        <v>41810.83</v>
      </c>
      <c r="Z782" s="12">
        <f t="shared" si="489"/>
        <v>41810.83</v>
      </c>
      <c r="AA782" s="12">
        <f t="shared" si="489"/>
        <v>41810.83</v>
      </c>
      <c r="AB782" s="12">
        <f t="shared" si="489"/>
        <v>41810.85</v>
      </c>
      <c r="AC782" s="12">
        <f>SUM(AC779:AC781)</f>
        <v>502390.46000000008</v>
      </c>
      <c r="AD782" s="12">
        <f>SUM(AD779:AD781)</f>
        <v>42308.75</v>
      </c>
      <c r="AE782" s="12">
        <f>SUM(AE779:AE781)</f>
        <v>42058.75</v>
      </c>
      <c r="AF782" s="12">
        <f t="shared" ref="AF782:AO782" si="490">SUM(AF779:AF781)</f>
        <v>42058.75</v>
      </c>
      <c r="AG782" s="12">
        <f t="shared" si="490"/>
        <v>42058.75</v>
      </c>
      <c r="AH782" s="12">
        <f t="shared" si="490"/>
        <v>42058.75</v>
      </c>
      <c r="AI782" s="12">
        <f t="shared" si="490"/>
        <v>42058.77</v>
      </c>
      <c r="AJ782" s="12">
        <f t="shared" si="490"/>
        <v>42047.5</v>
      </c>
      <c r="AK782" s="12">
        <f t="shared" si="490"/>
        <v>42047.5</v>
      </c>
      <c r="AL782" s="12">
        <f t="shared" si="490"/>
        <v>42047.5</v>
      </c>
      <c r="AM782" s="12">
        <f t="shared" si="490"/>
        <v>42047.5</v>
      </c>
      <c r="AN782" s="12">
        <f t="shared" si="490"/>
        <v>42047.5</v>
      </c>
      <c r="AO782" s="57">
        <f t="shared" si="490"/>
        <v>42047.479999999996</v>
      </c>
      <c r="AP782" s="12">
        <f>SUM(AP779:AP781)</f>
        <v>504887.5</v>
      </c>
    </row>
    <row r="783" spans="1:44" x14ac:dyDescent="0.3">
      <c r="C783" s="13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</row>
    <row r="784" spans="1:44" ht="15.5" x14ac:dyDescent="0.35">
      <c r="A784" s="18">
        <f>+A778+1</f>
        <v>97</v>
      </c>
      <c r="C784" s="22" t="s">
        <v>249</v>
      </c>
    </row>
    <row r="785" spans="1:44" x14ac:dyDescent="0.3">
      <c r="C785" s="6" t="s">
        <v>7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2980.91</v>
      </c>
      <c r="M785" s="10">
        <v>2980.91</v>
      </c>
      <c r="N785" s="10">
        <v>2980.91</v>
      </c>
      <c r="O785" s="10">
        <v>2980.91</v>
      </c>
      <c r="P785" s="10">
        <f>SUM(D785:O785)</f>
        <v>11923.64</v>
      </c>
      <c r="Q785" s="10">
        <v>2980.91</v>
      </c>
      <c r="R785" s="10">
        <v>2980.91</v>
      </c>
      <c r="S785" s="10">
        <v>2980.91</v>
      </c>
      <c r="T785" s="10">
        <v>2980.91</v>
      </c>
      <c r="U785" s="10">
        <v>2980.91</v>
      </c>
      <c r="V785" s="10">
        <v>2980.91</v>
      </c>
      <c r="W785" s="10">
        <v>2980.91</v>
      </c>
      <c r="X785" s="10">
        <v>2732.5</v>
      </c>
      <c r="Y785" s="10">
        <v>2732.5</v>
      </c>
      <c r="Z785" s="10">
        <v>2732.5</v>
      </c>
      <c r="AA785" s="10">
        <v>2732.5</v>
      </c>
      <c r="AB785" s="10">
        <v>2732.5</v>
      </c>
      <c r="AC785" s="10">
        <f>SUM(Q785:AB785)</f>
        <v>34528.869999999995</v>
      </c>
      <c r="AD785" s="10">
        <v>2732.5</v>
      </c>
      <c r="AE785" s="10">
        <v>2732.5</v>
      </c>
      <c r="AF785" s="10">
        <v>2732.5</v>
      </c>
      <c r="AG785" s="10">
        <v>2732.5</v>
      </c>
      <c r="AH785" s="10">
        <v>2732.5</v>
      </c>
      <c r="AI785" s="10">
        <v>2732.5</v>
      </c>
      <c r="AJ785" s="10">
        <v>2732.5</v>
      </c>
      <c r="AK785" s="10">
        <v>2732.5</v>
      </c>
      <c r="AL785" s="10">
        <v>2732.5</v>
      </c>
      <c r="AM785" s="10">
        <v>2732.5</v>
      </c>
      <c r="AN785" s="10">
        <v>2732.5</v>
      </c>
      <c r="AO785" s="55">
        <v>2732.5</v>
      </c>
      <c r="AP785" s="10">
        <f>SUM(AD785:AO785)</f>
        <v>32790</v>
      </c>
    </row>
    <row r="786" spans="1:44" x14ac:dyDescent="0.3">
      <c r="C786" s="6" t="s">
        <v>8</v>
      </c>
      <c r="D786" s="9"/>
      <c r="E786" s="9"/>
      <c r="H786" s="9"/>
      <c r="J786" s="9"/>
      <c r="K786" s="9"/>
      <c r="L786" s="9">
        <v>83.33</v>
      </c>
      <c r="M786" s="9"/>
      <c r="N786" s="9"/>
      <c r="O786" s="9"/>
      <c r="P786" s="10">
        <f>SUM(D786:O786)</f>
        <v>83.33</v>
      </c>
      <c r="Q786" s="9">
        <v>250</v>
      </c>
      <c r="AC786" s="10">
        <f>SUM(Q786:AB786)</f>
        <v>250</v>
      </c>
      <c r="AD786" s="9">
        <v>250</v>
      </c>
      <c r="AE786" s="9"/>
      <c r="AF786" s="9"/>
      <c r="AG786" s="9"/>
      <c r="AH786" s="9"/>
      <c r="AI786" s="9"/>
      <c r="AJ786" s="9"/>
      <c r="AK786" s="9"/>
      <c r="AL786" s="9"/>
      <c r="AM786" s="9"/>
      <c r="AN786" s="23"/>
      <c r="AO786" s="56"/>
      <c r="AP786" s="10">
        <f>SUM(AD786:AO786)</f>
        <v>250</v>
      </c>
    </row>
    <row r="787" spans="1:44" ht="13.5" thickBot="1" x14ac:dyDescent="0.35">
      <c r="C787" s="6" t="s">
        <v>9</v>
      </c>
      <c r="D787" s="10">
        <v>0</v>
      </c>
      <c r="E787" s="10">
        <v>0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86940.72</v>
      </c>
      <c r="M787" s="10">
        <v>86940.72</v>
      </c>
      <c r="N787" s="10">
        <v>86940.72</v>
      </c>
      <c r="O787" s="10">
        <v>71253.33</v>
      </c>
      <c r="P787" s="10">
        <f>SUM(D787:O787)</f>
        <v>332075.49</v>
      </c>
      <c r="Q787" s="10">
        <v>71253.33</v>
      </c>
      <c r="R787" s="10">
        <v>71253.33</v>
      </c>
      <c r="S787" s="10">
        <v>71253.33</v>
      </c>
      <c r="T787" s="10">
        <v>71253.33</v>
      </c>
      <c r="U787" s="10">
        <v>71253.350000000006</v>
      </c>
      <c r="V787" s="10">
        <v>94481.67</v>
      </c>
      <c r="W787" s="10">
        <v>94481.67</v>
      </c>
      <c r="X787" s="10">
        <v>94481.67</v>
      </c>
      <c r="Y787" s="10">
        <v>94481.67</v>
      </c>
      <c r="Z787" s="10">
        <v>94481.67</v>
      </c>
      <c r="AA787" s="10">
        <v>94481.65</v>
      </c>
      <c r="AB787" s="9">
        <f>42083.33+108358.33</f>
        <v>150441.66</v>
      </c>
      <c r="AC787" s="10">
        <f>SUM(Q787:AB787)</f>
        <v>1073598.33</v>
      </c>
      <c r="AD787" s="9">
        <f t="shared" ref="AD787:AM787" si="491">42083.33+108358.33</f>
        <v>150441.66</v>
      </c>
      <c r="AE787" s="9">
        <f t="shared" si="491"/>
        <v>150441.66</v>
      </c>
      <c r="AF787" s="9">
        <f t="shared" si="491"/>
        <v>150441.66</v>
      </c>
      <c r="AG787" s="9">
        <f t="shared" si="491"/>
        <v>150441.66</v>
      </c>
      <c r="AH787" s="9">
        <f>42083.33+108358.35</f>
        <v>150441.68</v>
      </c>
      <c r="AI787" s="9">
        <f t="shared" si="491"/>
        <v>150441.66</v>
      </c>
      <c r="AJ787" s="9">
        <f t="shared" si="491"/>
        <v>150441.66</v>
      </c>
      <c r="AK787" s="9">
        <f t="shared" si="491"/>
        <v>150441.66</v>
      </c>
      <c r="AL787" s="9">
        <f t="shared" si="491"/>
        <v>150441.66</v>
      </c>
      <c r="AM787" s="9">
        <f t="shared" si="491"/>
        <v>150441.66</v>
      </c>
      <c r="AN787" s="23">
        <f>42083.37+108358.35</f>
        <v>150441.72</v>
      </c>
      <c r="AO787" s="55">
        <f>43333.33+107516.67</f>
        <v>150850</v>
      </c>
      <c r="AP787" s="10">
        <f>SUM(AD787:AO787)</f>
        <v>1805708.3399999999</v>
      </c>
      <c r="AR787" s="33"/>
    </row>
    <row r="788" spans="1:44" ht="13.5" thickBot="1" x14ac:dyDescent="0.35">
      <c r="C788" s="11" t="s">
        <v>113</v>
      </c>
      <c r="D788" s="12">
        <f t="shared" ref="D788:AB788" si="492">SUM(D785:D787)</f>
        <v>0</v>
      </c>
      <c r="E788" s="12">
        <f t="shared" si="492"/>
        <v>0</v>
      </c>
      <c r="F788" s="12">
        <f t="shared" si="492"/>
        <v>0</v>
      </c>
      <c r="G788" s="12">
        <f t="shared" si="492"/>
        <v>0</v>
      </c>
      <c r="H788" s="12">
        <f t="shared" si="492"/>
        <v>0</v>
      </c>
      <c r="I788" s="12">
        <f t="shared" si="492"/>
        <v>0</v>
      </c>
      <c r="J788" s="12">
        <f t="shared" si="492"/>
        <v>0</v>
      </c>
      <c r="K788" s="12">
        <f t="shared" si="492"/>
        <v>0</v>
      </c>
      <c r="L788" s="12">
        <f t="shared" si="492"/>
        <v>90004.96</v>
      </c>
      <c r="M788" s="12">
        <f t="shared" si="492"/>
        <v>89921.63</v>
      </c>
      <c r="N788" s="12">
        <f t="shared" si="492"/>
        <v>89921.63</v>
      </c>
      <c r="O788" s="12">
        <f t="shared" si="492"/>
        <v>74234.240000000005</v>
      </c>
      <c r="P788" s="12">
        <f t="shared" si="492"/>
        <v>344082.45999999996</v>
      </c>
      <c r="Q788" s="12">
        <f t="shared" si="492"/>
        <v>74484.240000000005</v>
      </c>
      <c r="R788" s="12">
        <f t="shared" si="492"/>
        <v>74234.240000000005</v>
      </c>
      <c r="S788" s="12">
        <f t="shared" si="492"/>
        <v>74234.240000000005</v>
      </c>
      <c r="T788" s="12">
        <f t="shared" si="492"/>
        <v>74234.240000000005</v>
      </c>
      <c r="U788" s="12">
        <f t="shared" si="492"/>
        <v>74234.260000000009</v>
      </c>
      <c r="V788" s="12">
        <f t="shared" si="492"/>
        <v>97462.58</v>
      </c>
      <c r="W788" s="12">
        <f t="shared" si="492"/>
        <v>97462.58</v>
      </c>
      <c r="X788" s="12">
        <f t="shared" si="492"/>
        <v>97214.17</v>
      </c>
      <c r="Y788" s="12">
        <f t="shared" si="492"/>
        <v>97214.17</v>
      </c>
      <c r="Z788" s="12">
        <f t="shared" si="492"/>
        <v>97214.17</v>
      </c>
      <c r="AA788" s="12">
        <f t="shared" si="492"/>
        <v>97214.15</v>
      </c>
      <c r="AB788" s="12">
        <f t="shared" si="492"/>
        <v>153174.16</v>
      </c>
      <c r="AC788" s="12">
        <f>SUM(AC785:AC787)</f>
        <v>1108377.2000000002</v>
      </c>
      <c r="AD788" s="12">
        <f>SUM(AD785:AD787)</f>
        <v>153424.16</v>
      </c>
      <c r="AE788" s="12">
        <f>SUM(AE785:AE787)</f>
        <v>153174.16</v>
      </c>
      <c r="AF788" s="12">
        <f t="shared" ref="AF788:AO788" si="493">SUM(AF785:AF787)</f>
        <v>153174.16</v>
      </c>
      <c r="AG788" s="12">
        <f t="shared" si="493"/>
        <v>153174.16</v>
      </c>
      <c r="AH788" s="12">
        <f t="shared" si="493"/>
        <v>153174.18</v>
      </c>
      <c r="AI788" s="12">
        <f t="shared" si="493"/>
        <v>153174.16</v>
      </c>
      <c r="AJ788" s="12">
        <f t="shared" si="493"/>
        <v>153174.16</v>
      </c>
      <c r="AK788" s="12">
        <f t="shared" si="493"/>
        <v>153174.16</v>
      </c>
      <c r="AL788" s="12">
        <f t="shared" si="493"/>
        <v>153174.16</v>
      </c>
      <c r="AM788" s="12">
        <f t="shared" si="493"/>
        <v>153174.16</v>
      </c>
      <c r="AN788" s="12">
        <f t="shared" si="493"/>
        <v>153174.22</v>
      </c>
      <c r="AO788" s="57">
        <f t="shared" si="493"/>
        <v>153582.5</v>
      </c>
      <c r="AP788" s="12">
        <f>SUM(AP785:AP787)</f>
        <v>1838748.3399999999</v>
      </c>
    </row>
    <row r="789" spans="1:44" x14ac:dyDescent="0.3">
      <c r="C789" s="13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</row>
    <row r="790" spans="1:44" ht="15.5" x14ac:dyDescent="0.35">
      <c r="A790" s="18">
        <f>+A784+1</f>
        <v>98</v>
      </c>
      <c r="C790" s="22" t="s">
        <v>250</v>
      </c>
    </row>
    <row r="791" spans="1:44" x14ac:dyDescent="0.3">
      <c r="C791" s="6" t="s">
        <v>7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f>SUM(D791:O791)</f>
        <v>0</v>
      </c>
      <c r="Q791" s="10">
        <v>0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0</v>
      </c>
      <c r="AA791" s="10">
        <v>0</v>
      </c>
      <c r="AB791" s="10">
        <v>0</v>
      </c>
      <c r="AC791" s="10">
        <f>SUM(Q791:AB791)</f>
        <v>0</v>
      </c>
      <c r="AD791" s="10">
        <v>0</v>
      </c>
      <c r="AE791" s="10">
        <v>0</v>
      </c>
      <c r="AF791" s="10">
        <v>0</v>
      </c>
      <c r="AG791" s="10">
        <v>0</v>
      </c>
      <c r="AH791" s="10">
        <v>0</v>
      </c>
      <c r="AI791" s="10">
        <v>0</v>
      </c>
      <c r="AJ791" s="10">
        <v>0</v>
      </c>
      <c r="AK791" s="10">
        <v>0</v>
      </c>
      <c r="AL791" s="10">
        <v>0</v>
      </c>
      <c r="AM791" s="10">
        <v>0</v>
      </c>
      <c r="AN791" s="10">
        <v>0</v>
      </c>
      <c r="AO791" s="55">
        <v>0</v>
      </c>
      <c r="AP791" s="10">
        <f>SUM(AD791:AO791)</f>
        <v>0</v>
      </c>
    </row>
    <row r="792" spans="1:44" x14ac:dyDescent="0.3">
      <c r="C792" s="6" t="s">
        <v>8</v>
      </c>
      <c r="D792" s="9"/>
      <c r="E792" s="9"/>
      <c r="H792" s="9"/>
      <c r="J792" s="9"/>
      <c r="K792" s="9"/>
      <c r="L792" s="9"/>
      <c r="M792" s="9">
        <v>62.5</v>
      </c>
      <c r="N792" s="9"/>
      <c r="O792" s="9"/>
      <c r="P792" s="10">
        <f>SUM(D792:O792)</f>
        <v>62.5</v>
      </c>
      <c r="Q792" s="9">
        <v>250</v>
      </c>
      <c r="AC792" s="10">
        <f>SUM(Q792:AB792)</f>
        <v>250</v>
      </c>
      <c r="AD792" s="9">
        <v>250</v>
      </c>
      <c r="AE792" s="9"/>
      <c r="AF792" s="9"/>
      <c r="AG792" s="9"/>
      <c r="AH792" s="9"/>
      <c r="AI792" s="9"/>
      <c r="AJ792" s="9"/>
      <c r="AK792" s="9"/>
      <c r="AL792" s="9"/>
      <c r="AM792" s="9"/>
      <c r="AN792" s="23"/>
      <c r="AO792" s="56"/>
      <c r="AP792" s="10">
        <f>SUM(AD792:AO792)</f>
        <v>250</v>
      </c>
    </row>
    <row r="793" spans="1:44" ht="13.5" thickBot="1" x14ac:dyDescent="0.35">
      <c r="C793" s="6" t="s">
        <v>9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f>SUM(D793:O793)</f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727.68</v>
      </c>
      <c r="X793" s="10">
        <v>727.68</v>
      </c>
      <c r="Y793" s="10">
        <v>727.68</v>
      </c>
      <c r="Z793" s="10">
        <v>727.68</v>
      </c>
      <c r="AA793" s="10">
        <v>727.7</v>
      </c>
      <c r="AB793" s="10">
        <v>727.7</v>
      </c>
      <c r="AC793" s="10">
        <f>SUM(Q793:AB793)</f>
        <v>4366.12</v>
      </c>
      <c r="AD793" s="10">
        <v>32018.25</v>
      </c>
      <c r="AE793" s="10">
        <v>32018.25</v>
      </c>
      <c r="AF793" s="10">
        <v>32018.25</v>
      </c>
      <c r="AG793" s="10">
        <v>32018.25</v>
      </c>
      <c r="AH793" s="10">
        <v>32018.25</v>
      </c>
      <c r="AI793" s="10">
        <v>32018.25</v>
      </c>
      <c r="AJ793" s="10">
        <v>32018.25</v>
      </c>
      <c r="AK793" s="10">
        <v>32018.25</v>
      </c>
      <c r="AL793" s="10">
        <v>32018.25</v>
      </c>
      <c r="AM793" s="10">
        <v>32018.25</v>
      </c>
      <c r="AN793" s="10">
        <v>32018.25</v>
      </c>
      <c r="AO793" s="55">
        <v>32018.25</v>
      </c>
      <c r="AP793" s="10">
        <f>SUM(AD793:AO793)</f>
        <v>384219</v>
      </c>
      <c r="AR793" s="33"/>
    </row>
    <row r="794" spans="1:44" ht="13.5" thickBot="1" x14ac:dyDescent="0.35">
      <c r="C794" s="11" t="s">
        <v>251</v>
      </c>
      <c r="D794" s="12">
        <f t="shared" ref="D794:AB794" si="494">SUM(D791:D793)</f>
        <v>0</v>
      </c>
      <c r="E794" s="12">
        <f t="shared" si="494"/>
        <v>0</v>
      </c>
      <c r="F794" s="12">
        <f t="shared" si="494"/>
        <v>0</v>
      </c>
      <c r="G794" s="12">
        <f t="shared" si="494"/>
        <v>0</v>
      </c>
      <c r="H794" s="12">
        <f t="shared" si="494"/>
        <v>0</v>
      </c>
      <c r="I794" s="12">
        <f t="shared" si="494"/>
        <v>0</v>
      </c>
      <c r="J794" s="12">
        <f t="shared" si="494"/>
        <v>0</v>
      </c>
      <c r="K794" s="12">
        <f t="shared" si="494"/>
        <v>0</v>
      </c>
      <c r="L794" s="12">
        <f t="shared" si="494"/>
        <v>0</v>
      </c>
      <c r="M794" s="12">
        <f t="shared" si="494"/>
        <v>62.5</v>
      </c>
      <c r="N794" s="12">
        <f t="shared" si="494"/>
        <v>0</v>
      </c>
      <c r="O794" s="12">
        <f t="shared" si="494"/>
        <v>0</v>
      </c>
      <c r="P794" s="12">
        <f t="shared" si="494"/>
        <v>62.5</v>
      </c>
      <c r="Q794" s="12">
        <f t="shared" si="494"/>
        <v>250</v>
      </c>
      <c r="R794" s="12">
        <f t="shared" si="494"/>
        <v>0</v>
      </c>
      <c r="S794" s="12">
        <f t="shared" si="494"/>
        <v>0</v>
      </c>
      <c r="T794" s="12">
        <f t="shared" si="494"/>
        <v>0</v>
      </c>
      <c r="U794" s="12">
        <f t="shared" si="494"/>
        <v>0</v>
      </c>
      <c r="V794" s="12">
        <f t="shared" si="494"/>
        <v>0</v>
      </c>
      <c r="W794" s="12">
        <f t="shared" si="494"/>
        <v>727.68</v>
      </c>
      <c r="X794" s="12">
        <f t="shared" si="494"/>
        <v>727.68</v>
      </c>
      <c r="Y794" s="12">
        <f t="shared" si="494"/>
        <v>727.68</v>
      </c>
      <c r="Z794" s="12">
        <f t="shared" si="494"/>
        <v>727.68</v>
      </c>
      <c r="AA794" s="12">
        <f t="shared" si="494"/>
        <v>727.7</v>
      </c>
      <c r="AB794" s="12">
        <f t="shared" si="494"/>
        <v>727.7</v>
      </c>
      <c r="AC794" s="12">
        <f>SUM(AC791:AC793)</f>
        <v>4616.12</v>
      </c>
      <c r="AD794" s="12">
        <f>SUM(AD791:AD793)</f>
        <v>32268.25</v>
      </c>
      <c r="AE794" s="12">
        <f>SUM(AE791:AE793)</f>
        <v>32018.25</v>
      </c>
      <c r="AF794" s="12">
        <f t="shared" ref="AF794:AO794" si="495">SUM(AF791:AF793)</f>
        <v>32018.25</v>
      </c>
      <c r="AG794" s="12">
        <f t="shared" si="495"/>
        <v>32018.25</v>
      </c>
      <c r="AH794" s="12">
        <f t="shared" si="495"/>
        <v>32018.25</v>
      </c>
      <c r="AI794" s="12">
        <f t="shared" si="495"/>
        <v>32018.25</v>
      </c>
      <c r="AJ794" s="12">
        <f t="shared" si="495"/>
        <v>32018.25</v>
      </c>
      <c r="AK794" s="12">
        <f t="shared" si="495"/>
        <v>32018.25</v>
      </c>
      <c r="AL794" s="12">
        <f t="shared" si="495"/>
        <v>32018.25</v>
      </c>
      <c r="AM794" s="12">
        <f t="shared" si="495"/>
        <v>32018.25</v>
      </c>
      <c r="AN794" s="12">
        <f t="shared" si="495"/>
        <v>32018.25</v>
      </c>
      <c r="AO794" s="57">
        <f t="shared" si="495"/>
        <v>32018.25</v>
      </c>
      <c r="AP794" s="12">
        <f>SUM(AP791:AP793)</f>
        <v>384469</v>
      </c>
    </row>
    <row r="795" spans="1:44" x14ac:dyDescent="0.3">
      <c r="C795" s="13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</row>
    <row r="796" spans="1:44" ht="15.5" x14ac:dyDescent="0.35">
      <c r="A796" s="18">
        <f>+A790+1</f>
        <v>99</v>
      </c>
      <c r="C796" s="22" t="s">
        <v>252</v>
      </c>
    </row>
    <row r="797" spans="1:44" x14ac:dyDescent="0.3">
      <c r="C797" s="6" t="s">
        <v>7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f>SUM(D797:O797)</f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10">
        <v>0</v>
      </c>
      <c r="AC797" s="10">
        <f>SUM(Q797:AB797)</f>
        <v>0</v>
      </c>
      <c r="AD797" s="10">
        <v>0</v>
      </c>
      <c r="AE797" s="10">
        <v>0</v>
      </c>
      <c r="AF797" s="10">
        <v>0</v>
      </c>
      <c r="AG797" s="10">
        <v>0</v>
      </c>
      <c r="AH797" s="10">
        <v>0</v>
      </c>
      <c r="AI797" s="10">
        <v>0</v>
      </c>
      <c r="AJ797" s="10">
        <v>0</v>
      </c>
      <c r="AK797" s="10">
        <v>0</v>
      </c>
      <c r="AL797" s="10">
        <v>0</v>
      </c>
      <c r="AM797" s="10">
        <v>0</v>
      </c>
      <c r="AN797" s="10">
        <v>0</v>
      </c>
      <c r="AO797" s="55">
        <v>0</v>
      </c>
      <c r="AP797" s="10">
        <f>SUM(AD797:AO797)</f>
        <v>0</v>
      </c>
    </row>
    <row r="798" spans="1:44" x14ac:dyDescent="0.3">
      <c r="C798" s="6" t="s">
        <v>8</v>
      </c>
      <c r="D798" s="9"/>
      <c r="E798" s="9"/>
      <c r="H798" s="9"/>
      <c r="J798" s="9"/>
      <c r="K798" s="9"/>
      <c r="L798" s="9"/>
      <c r="M798" s="9"/>
      <c r="N798" s="9">
        <v>41.67</v>
      </c>
      <c r="O798" s="9"/>
      <c r="P798" s="10">
        <f>SUM(D798:O798)</f>
        <v>41.67</v>
      </c>
      <c r="Q798" s="9">
        <v>250</v>
      </c>
      <c r="AC798" s="10">
        <f>SUM(Q798:AB798)</f>
        <v>250</v>
      </c>
      <c r="AD798" s="9">
        <v>250</v>
      </c>
      <c r="AE798" s="9"/>
      <c r="AF798" s="9"/>
      <c r="AG798" s="9"/>
      <c r="AH798" s="9"/>
      <c r="AI798" s="9"/>
      <c r="AJ798" s="9"/>
      <c r="AK798" s="9"/>
      <c r="AL798" s="9"/>
      <c r="AM798" s="9"/>
      <c r="AN798" s="23"/>
      <c r="AO798" s="56"/>
      <c r="AP798" s="10">
        <f>SUM(AD798:AO798)</f>
        <v>250</v>
      </c>
    </row>
    <row r="799" spans="1:44" ht="13.5" thickBot="1" x14ac:dyDescent="0.35">
      <c r="C799" s="6" t="s">
        <v>9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f>16500+10639.37</f>
        <v>27139.370000000003</v>
      </c>
      <c r="O799" s="10">
        <f>16500+10251.34</f>
        <v>26751.34</v>
      </c>
      <c r="P799" s="10">
        <f>SUM(D799:O799)</f>
        <v>53890.710000000006</v>
      </c>
      <c r="Q799" s="9">
        <v>29262.400000000001</v>
      </c>
      <c r="R799" s="9">
        <v>29209.86</v>
      </c>
      <c r="S799" s="9">
        <v>28820.5</v>
      </c>
      <c r="T799" s="9">
        <v>29104.79</v>
      </c>
      <c r="U799" s="9">
        <v>28718.81</v>
      </c>
      <c r="V799" s="9">
        <v>28999.71</v>
      </c>
      <c r="W799" s="9">
        <v>28947.17</v>
      </c>
      <c r="X799" s="9">
        <v>27909.57</v>
      </c>
      <c r="Y799" s="9">
        <v>28842.09</v>
      </c>
      <c r="Z799" s="9">
        <v>28464.59</v>
      </c>
      <c r="AA799" s="9">
        <v>28737.01</v>
      </c>
      <c r="AB799" s="9">
        <v>28362.9</v>
      </c>
      <c r="AC799" s="10">
        <f>SUM(Q799:AB799)</f>
        <v>345379.4</v>
      </c>
      <c r="AD799" s="10">
        <v>29031.200000000001</v>
      </c>
      <c r="AE799" s="10">
        <v>28977.54</v>
      </c>
      <c r="AF799" s="10">
        <v>28607.46</v>
      </c>
      <c r="AG799" s="10">
        <v>28870.22</v>
      </c>
      <c r="AH799" s="10">
        <v>28503.599999999999</v>
      </c>
      <c r="AI799" s="10">
        <v>28762.9</v>
      </c>
      <c r="AJ799" s="10">
        <v>28709.24</v>
      </c>
      <c r="AK799" s="10">
        <v>28040.05</v>
      </c>
      <c r="AL799" s="10">
        <v>28601.919999999998</v>
      </c>
      <c r="AM799" s="10">
        <v>28243.96</v>
      </c>
      <c r="AN799" s="10">
        <v>28494.6</v>
      </c>
      <c r="AO799" s="55">
        <v>28140.1</v>
      </c>
      <c r="AP799" s="10">
        <f>SUM(AD799:AO799)</f>
        <v>342982.79</v>
      </c>
      <c r="AR799" s="33"/>
    </row>
    <row r="800" spans="1:44" ht="13.5" thickBot="1" x14ac:dyDescent="0.35">
      <c r="C800" s="11" t="s">
        <v>253</v>
      </c>
      <c r="D800" s="12">
        <f t="shared" ref="D800:AB800" si="496">SUM(D797:D799)</f>
        <v>0</v>
      </c>
      <c r="E800" s="12">
        <f t="shared" si="496"/>
        <v>0</v>
      </c>
      <c r="F800" s="12">
        <f t="shared" si="496"/>
        <v>0</v>
      </c>
      <c r="G800" s="12">
        <f t="shared" si="496"/>
        <v>0</v>
      </c>
      <c r="H800" s="12">
        <f t="shared" si="496"/>
        <v>0</v>
      </c>
      <c r="I800" s="12">
        <f t="shared" si="496"/>
        <v>0</v>
      </c>
      <c r="J800" s="12">
        <f t="shared" si="496"/>
        <v>0</v>
      </c>
      <c r="K800" s="12">
        <f t="shared" si="496"/>
        <v>0</v>
      </c>
      <c r="L800" s="12">
        <f t="shared" si="496"/>
        <v>0</v>
      </c>
      <c r="M800" s="12">
        <f t="shared" si="496"/>
        <v>0</v>
      </c>
      <c r="N800" s="12">
        <f t="shared" si="496"/>
        <v>27181.040000000001</v>
      </c>
      <c r="O800" s="12">
        <f t="shared" si="496"/>
        <v>26751.34</v>
      </c>
      <c r="P800" s="12">
        <f t="shared" si="496"/>
        <v>53932.380000000005</v>
      </c>
      <c r="Q800" s="12">
        <f t="shared" si="496"/>
        <v>29512.400000000001</v>
      </c>
      <c r="R800" s="12">
        <f t="shared" si="496"/>
        <v>29209.86</v>
      </c>
      <c r="S800" s="12">
        <f t="shared" si="496"/>
        <v>28820.5</v>
      </c>
      <c r="T800" s="12">
        <f t="shared" si="496"/>
        <v>29104.79</v>
      </c>
      <c r="U800" s="12">
        <f t="shared" si="496"/>
        <v>28718.81</v>
      </c>
      <c r="V800" s="12">
        <f t="shared" si="496"/>
        <v>28999.71</v>
      </c>
      <c r="W800" s="12">
        <f t="shared" si="496"/>
        <v>28947.17</v>
      </c>
      <c r="X800" s="12">
        <f t="shared" si="496"/>
        <v>27909.57</v>
      </c>
      <c r="Y800" s="12">
        <f t="shared" si="496"/>
        <v>28842.09</v>
      </c>
      <c r="Z800" s="12">
        <f t="shared" si="496"/>
        <v>28464.59</v>
      </c>
      <c r="AA800" s="12">
        <f t="shared" si="496"/>
        <v>28737.01</v>
      </c>
      <c r="AB800" s="12">
        <f t="shared" si="496"/>
        <v>28362.9</v>
      </c>
      <c r="AC800" s="12">
        <f>SUM(AC797:AC799)</f>
        <v>345629.4</v>
      </c>
      <c r="AD800" s="12">
        <f>SUM(AD797:AD799)</f>
        <v>29281.200000000001</v>
      </c>
      <c r="AE800" s="12">
        <f>SUM(AE797:AE799)</f>
        <v>28977.54</v>
      </c>
      <c r="AF800" s="12">
        <f t="shared" ref="AF800:AO800" si="497">SUM(AF797:AF799)</f>
        <v>28607.46</v>
      </c>
      <c r="AG800" s="12">
        <f t="shared" si="497"/>
        <v>28870.22</v>
      </c>
      <c r="AH800" s="12">
        <f t="shared" si="497"/>
        <v>28503.599999999999</v>
      </c>
      <c r="AI800" s="12">
        <f t="shared" si="497"/>
        <v>28762.9</v>
      </c>
      <c r="AJ800" s="12">
        <f t="shared" si="497"/>
        <v>28709.24</v>
      </c>
      <c r="AK800" s="12">
        <f t="shared" si="497"/>
        <v>28040.05</v>
      </c>
      <c r="AL800" s="12">
        <f t="shared" si="497"/>
        <v>28601.919999999998</v>
      </c>
      <c r="AM800" s="12">
        <f t="shared" si="497"/>
        <v>28243.96</v>
      </c>
      <c r="AN800" s="12">
        <f t="shared" si="497"/>
        <v>28494.6</v>
      </c>
      <c r="AO800" s="57">
        <f t="shared" si="497"/>
        <v>28140.1</v>
      </c>
      <c r="AP800" s="12">
        <f>SUM(AP797:AP799)</f>
        <v>343232.79</v>
      </c>
    </row>
    <row r="801" spans="1:44" x14ac:dyDescent="0.3">
      <c r="C801" s="13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</row>
    <row r="802" spans="1:44" ht="15.5" x14ac:dyDescent="0.35">
      <c r="A802" s="18">
        <f>+A796+1</f>
        <v>100</v>
      </c>
      <c r="C802" s="22" t="s">
        <v>254</v>
      </c>
    </row>
    <row r="803" spans="1:44" x14ac:dyDescent="0.3">
      <c r="C803" s="6" t="s">
        <v>7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f>SUM(D803:O803)</f>
        <v>0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  <c r="AC803" s="10">
        <f>SUM(Q803:AB803)</f>
        <v>0</v>
      </c>
      <c r="AD803" s="10">
        <v>0</v>
      </c>
      <c r="AE803" s="10">
        <v>0</v>
      </c>
      <c r="AF803" s="10">
        <v>0</v>
      </c>
      <c r="AG803" s="10">
        <v>0</v>
      </c>
      <c r="AH803" s="10">
        <v>0</v>
      </c>
      <c r="AI803" s="10">
        <v>0</v>
      </c>
      <c r="AJ803" s="10">
        <v>0</v>
      </c>
      <c r="AK803" s="10">
        <v>0</v>
      </c>
      <c r="AL803" s="10">
        <v>0</v>
      </c>
      <c r="AM803" s="10">
        <v>0</v>
      </c>
      <c r="AN803" s="10">
        <v>0</v>
      </c>
      <c r="AO803" s="55">
        <v>0</v>
      </c>
      <c r="AP803" s="10">
        <f>SUM(AD803:AO803)</f>
        <v>0</v>
      </c>
    </row>
    <row r="804" spans="1:44" x14ac:dyDescent="0.3">
      <c r="C804" s="6" t="s">
        <v>8</v>
      </c>
      <c r="D804" s="9"/>
      <c r="E804" s="9"/>
      <c r="H804" s="9"/>
      <c r="J804" s="9"/>
      <c r="K804" s="9"/>
      <c r="L804" s="9"/>
      <c r="M804" s="9"/>
      <c r="N804" s="9">
        <v>41.67</v>
      </c>
      <c r="O804" s="9"/>
      <c r="P804" s="10">
        <f>SUM(D804:O804)</f>
        <v>41.67</v>
      </c>
      <c r="Q804" s="9">
        <v>250</v>
      </c>
      <c r="AC804" s="10">
        <f>SUM(Q804:AB804)</f>
        <v>250</v>
      </c>
      <c r="AD804" s="9">
        <v>250</v>
      </c>
      <c r="AE804" s="9"/>
      <c r="AF804" s="9"/>
      <c r="AG804" s="9"/>
      <c r="AH804" s="9"/>
      <c r="AI804" s="9"/>
      <c r="AJ804" s="9"/>
      <c r="AK804" s="9"/>
      <c r="AL804" s="9"/>
      <c r="AM804" s="9"/>
      <c r="AN804" s="23"/>
      <c r="AO804" s="56"/>
      <c r="AP804" s="10">
        <f>SUM(AD804:AO804)</f>
        <v>250</v>
      </c>
    </row>
    <row r="805" spans="1:44" ht="13.5" thickBot="1" x14ac:dyDescent="0.35">
      <c r="C805" s="6" t="s">
        <v>9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f>SUM(D805:O805)</f>
        <v>0</v>
      </c>
      <c r="Q805" s="10">
        <v>15102.03</v>
      </c>
      <c r="R805" s="10">
        <v>15102.03</v>
      </c>
      <c r="S805" s="10">
        <v>15102.03</v>
      </c>
      <c r="T805" s="10">
        <v>15102.03</v>
      </c>
      <c r="U805" s="10">
        <v>15102.04</v>
      </c>
      <c r="V805" s="10">
        <v>15102.03</v>
      </c>
      <c r="W805" s="10">
        <v>31793.75</v>
      </c>
      <c r="X805" s="10">
        <v>31793.75</v>
      </c>
      <c r="Y805" s="10">
        <v>31793.75</v>
      </c>
      <c r="Z805" s="10">
        <v>31793.75</v>
      </c>
      <c r="AA805" s="10">
        <v>31793.75</v>
      </c>
      <c r="AB805" s="10">
        <v>31793.75</v>
      </c>
      <c r="AC805" s="10">
        <f>SUM(Q805:AB805)</f>
        <v>281374.69</v>
      </c>
      <c r="AD805" s="10">
        <v>31793.75</v>
      </c>
      <c r="AE805" s="10">
        <v>31793.75</v>
      </c>
      <c r="AF805" s="10">
        <v>31793.75</v>
      </c>
      <c r="AG805" s="10">
        <v>31793.75</v>
      </c>
      <c r="AH805" s="10">
        <v>31793.75</v>
      </c>
      <c r="AI805" s="10">
        <v>31793.75</v>
      </c>
      <c r="AJ805" s="10">
        <v>31793.75</v>
      </c>
      <c r="AK805" s="10">
        <v>31793.75</v>
      </c>
      <c r="AL805" s="10">
        <v>31793.75</v>
      </c>
      <c r="AM805" s="10">
        <v>31793.75</v>
      </c>
      <c r="AN805" s="10">
        <v>31793.75</v>
      </c>
      <c r="AO805" s="55">
        <v>31793.75</v>
      </c>
      <c r="AP805" s="10">
        <f>SUM(AD805:AO805)</f>
        <v>381525</v>
      </c>
      <c r="AR805" s="33"/>
    </row>
    <row r="806" spans="1:44" ht="13.5" thickBot="1" x14ac:dyDescent="0.35">
      <c r="C806" s="11" t="s">
        <v>255</v>
      </c>
      <c r="D806" s="12">
        <f t="shared" ref="D806:AB806" si="498">SUM(D803:D805)</f>
        <v>0</v>
      </c>
      <c r="E806" s="12">
        <f t="shared" si="498"/>
        <v>0</v>
      </c>
      <c r="F806" s="12">
        <f t="shared" si="498"/>
        <v>0</v>
      </c>
      <c r="G806" s="12">
        <f t="shared" si="498"/>
        <v>0</v>
      </c>
      <c r="H806" s="12">
        <f t="shared" si="498"/>
        <v>0</v>
      </c>
      <c r="I806" s="12">
        <f t="shared" si="498"/>
        <v>0</v>
      </c>
      <c r="J806" s="12">
        <f t="shared" si="498"/>
        <v>0</v>
      </c>
      <c r="K806" s="12">
        <f t="shared" si="498"/>
        <v>0</v>
      </c>
      <c r="L806" s="12">
        <f t="shared" si="498"/>
        <v>0</v>
      </c>
      <c r="M806" s="12">
        <f t="shared" si="498"/>
        <v>0</v>
      </c>
      <c r="N806" s="12">
        <f t="shared" si="498"/>
        <v>41.67</v>
      </c>
      <c r="O806" s="12">
        <f t="shared" si="498"/>
        <v>0</v>
      </c>
      <c r="P806" s="12">
        <f t="shared" si="498"/>
        <v>41.67</v>
      </c>
      <c r="Q806" s="12">
        <f t="shared" si="498"/>
        <v>15352.03</v>
      </c>
      <c r="R806" s="12">
        <f t="shared" si="498"/>
        <v>15102.03</v>
      </c>
      <c r="S806" s="12">
        <f t="shared" si="498"/>
        <v>15102.03</v>
      </c>
      <c r="T806" s="12">
        <f t="shared" si="498"/>
        <v>15102.03</v>
      </c>
      <c r="U806" s="12">
        <f t="shared" si="498"/>
        <v>15102.04</v>
      </c>
      <c r="V806" s="12">
        <f t="shared" si="498"/>
        <v>15102.03</v>
      </c>
      <c r="W806" s="12">
        <f t="shared" si="498"/>
        <v>31793.75</v>
      </c>
      <c r="X806" s="12">
        <f t="shared" si="498"/>
        <v>31793.75</v>
      </c>
      <c r="Y806" s="12">
        <f t="shared" si="498"/>
        <v>31793.75</v>
      </c>
      <c r="Z806" s="12">
        <f t="shared" si="498"/>
        <v>31793.75</v>
      </c>
      <c r="AA806" s="12">
        <f t="shared" si="498"/>
        <v>31793.75</v>
      </c>
      <c r="AB806" s="12">
        <f t="shared" si="498"/>
        <v>31793.75</v>
      </c>
      <c r="AC806" s="12">
        <f>SUM(AC803:AC805)</f>
        <v>281624.69</v>
      </c>
      <c r="AD806" s="12">
        <f>SUM(AD803:AD805)</f>
        <v>32043.75</v>
      </c>
      <c r="AE806" s="12">
        <f>SUM(AE803:AE805)</f>
        <v>31793.75</v>
      </c>
      <c r="AF806" s="12">
        <f t="shared" ref="AF806:AO806" si="499">SUM(AF803:AF805)</f>
        <v>31793.75</v>
      </c>
      <c r="AG806" s="12">
        <f t="shared" si="499"/>
        <v>31793.75</v>
      </c>
      <c r="AH806" s="12">
        <f t="shared" si="499"/>
        <v>31793.75</v>
      </c>
      <c r="AI806" s="12">
        <f t="shared" si="499"/>
        <v>31793.75</v>
      </c>
      <c r="AJ806" s="12">
        <f t="shared" si="499"/>
        <v>31793.75</v>
      </c>
      <c r="AK806" s="12">
        <f t="shared" si="499"/>
        <v>31793.75</v>
      </c>
      <c r="AL806" s="12">
        <f t="shared" si="499"/>
        <v>31793.75</v>
      </c>
      <c r="AM806" s="12">
        <f t="shared" si="499"/>
        <v>31793.75</v>
      </c>
      <c r="AN806" s="12">
        <f t="shared" si="499"/>
        <v>31793.75</v>
      </c>
      <c r="AO806" s="57">
        <f t="shared" si="499"/>
        <v>31793.75</v>
      </c>
      <c r="AP806" s="12">
        <f>SUM(AP803:AP805)</f>
        <v>381775</v>
      </c>
    </row>
    <row r="807" spans="1:44" x14ac:dyDescent="0.3">
      <c r="C807" s="13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</row>
    <row r="808" spans="1:44" ht="15.5" x14ac:dyDescent="0.35">
      <c r="A808" s="18">
        <f>+A802+1</f>
        <v>101</v>
      </c>
      <c r="C808" s="22" t="s">
        <v>256</v>
      </c>
    </row>
    <row r="809" spans="1:44" x14ac:dyDescent="0.3">
      <c r="C809" s="6" t="s">
        <v>7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10">
        <v>0</v>
      </c>
      <c r="N809" s="10">
        <v>0</v>
      </c>
      <c r="O809" s="10">
        <v>0</v>
      </c>
      <c r="P809" s="10">
        <f>SUM(D809:O809)</f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0</v>
      </c>
      <c r="AA809" s="10">
        <v>0</v>
      </c>
      <c r="AB809" s="10">
        <v>0</v>
      </c>
      <c r="AC809" s="10">
        <f>SUM(Q809:AB809)</f>
        <v>0</v>
      </c>
      <c r="AD809" s="10">
        <v>0</v>
      </c>
      <c r="AE809" s="10">
        <v>0</v>
      </c>
      <c r="AF809" s="10">
        <v>0</v>
      </c>
      <c r="AG809" s="10">
        <v>0</v>
      </c>
      <c r="AH809" s="10">
        <v>0</v>
      </c>
      <c r="AI809" s="10">
        <v>0</v>
      </c>
      <c r="AJ809" s="10">
        <v>0</v>
      </c>
      <c r="AK809" s="10">
        <v>0</v>
      </c>
      <c r="AL809" s="10">
        <v>0</v>
      </c>
      <c r="AM809" s="10">
        <v>0</v>
      </c>
      <c r="AN809" s="10">
        <v>0</v>
      </c>
      <c r="AO809" s="55">
        <v>0</v>
      </c>
      <c r="AP809" s="10">
        <f>SUM(AD809:AO809)</f>
        <v>0</v>
      </c>
    </row>
    <row r="810" spans="1:44" x14ac:dyDescent="0.3">
      <c r="C810" s="6" t="s">
        <v>8</v>
      </c>
      <c r="D810" s="9"/>
      <c r="E810" s="9"/>
      <c r="H810" s="9"/>
      <c r="J810" s="9"/>
      <c r="K810" s="9"/>
      <c r="L810" s="9"/>
      <c r="M810" s="9"/>
      <c r="N810" s="9">
        <v>41.67</v>
      </c>
      <c r="O810" s="9"/>
      <c r="P810" s="10">
        <f>SUM(D810:O810)</f>
        <v>41.67</v>
      </c>
      <c r="Q810" s="9">
        <v>250</v>
      </c>
      <c r="AC810" s="10">
        <f>SUM(Q810:AB810)</f>
        <v>250</v>
      </c>
      <c r="AD810" s="9">
        <v>250</v>
      </c>
      <c r="AE810" s="9"/>
      <c r="AF810" s="9"/>
      <c r="AG810" s="9"/>
      <c r="AH810" s="9"/>
      <c r="AI810" s="9"/>
      <c r="AJ810" s="9"/>
      <c r="AK810" s="9"/>
      <c r="AL810" s="9"/>
      <c r="AM810" s="9"/>
      <c r="AN810" s="23"/>
      <c r="AO810" s="56"/>
      <c r="AP810" s="10">
        <f>SUM(AD810:AO810)</f>
        <v>250</v>
      </c>
    </row>
    <row r="811" spans="1:44" ht="13.5" thickBot="1" x14ac:dyDescent="0.35">
      <c r="C811" s="6" t="s">
        <v>9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40649.589999999997</v>
      </c>
      <c r="O811" s="10">
        <v>40649.58</v>
      </c>
      <c r="P811" s="10">
        <f>SUM(D811:O811)</f>
        <v>81299.17</v>
      </c>
      <c r="Q811" s="10">
        <v>6675</v>
      </c>
      <c r="R811" s="10">
        <v>6675</v>
      </c>
      <c r="S811" s="10">
        <v>6675</v>
      </c>
      <c r="T811" s="10">
        <v>6675</v>
      </c>
      <c r="U811" s="10">
        <v>6675</v>
      </c>
      <c r="V811" s="10">
        <v>6675</v>
      </c>
      <c r="W811" s="10">
        <v>31675</v>
      </c>
      <c r="X811" s="10">
        <v>31675</v>
      </c>
      <c r="Y811" s="10">
        <v>31675</v>
      </c>
      <c r="Z811" s="10">
        <v>31675</v>
      </c>
      <c r="AA811" s="10">
        <v>31675</v>
      </c>
      <c r="AB811" s="10">
        <v>31675</v>
      </c>
      <c r="AC811" s="10">
        <f>SUM(Q811:AB811)</f>
        <v>230100</v>
      </c>
      <c r="AD811" s="10">
        <v>6675</v>
      </c>
      <c r="AE811" s="10">
        <v>6675</v>
      </c>
      <c r="AF811" s="10">
        <v>6675</v>
      </c>
      <c r="AG811" s="10">
        <v>6675</v>
      </c>
      <c r="AH811" s="10">
        <v>6675</v>
      </c>
      <c r="AI811" s="10">
        <v>6675</v>
      </c>
      <c r="AJ811" s="10">
        <v>31675</v>
      </c>
      <c r="AK811" s="10">
        <v>31675</v>
      </c>
      <c r="AL811" s="10">
        <v>31675</v>
      </c>
      <c r="AM811" s="10">
        <v>31675</v>
      </c>
      <c r="AN811" s="10">
        <v>31675</v>
      </c>
      <c r="AO811" s="55">
        <v>31675</v>
      </c>
      <c r="AP811" s="10">
        <f>SUM(AD811:AO811)</f>
        <v>230100</v>
      </c>
      <c r="AR811" s="33"/>
    </row>
    <row r="812" spans="1:44" ht="13.5" thickBot="1" x14ac:dyDescent="0.35">
      <c r="C812" s="11" t="s">
        <v>257</v>
      </c>
      <c r="D812" s="12">
        <f t="shared" ref="D812:AB812" si="500">SUM(D809:D811)</f>
        <v>0</v>
      </c>
      <c r="E812" s="12">
        <f t="shared" si="500"/>
        <v>0</v>
      </c>
      <c r="F812" s="12">
        <f t="shared" si="500"/>
        <v>0</v>
      </c>
      <c r="G812" s="12">
        <f t="shared" si="500"/>
        <v>0</v>
      </c>
      <c r="H812" s="12">
        <f t="shared" si="500"/>
        <v>0</v>
      </c>
      <c r="I812" s="12">
        <f t="shared" si="500"/>
        <v>0</v>
      </c>
      <c r="J812" s="12">
        <f t="shared" si="500"/>
        <v>0</v>
      </c>
      <c r="K812" s="12">
        <f t="shared" si="500"/>
        <v>0</v>
      </c>
      <c r="L812" s="12">
        <f t="shared" si="500"/>
        <v>0</v>
      </c>
      <c r="M812" s="12">
        <f t="shared" si="500"/>
        <v>0</v>
      </c>
      <c r="N812" s="12">
        <f t="shared" si="500"/>
        <v>40691.259999999995</v>
      </c>
      <c r="O812" s="12">
        <f t="shared" si="500"/>
        <v>40649.58</v>
      </c>
      <c r="P812" s="12">
        <f t="shared" si="500"/>
        <v>81340.84</v>
      </c>
      <c r="Q812" s="12">
        <f t="shared" si="500"/>
        <v>6925</v>
      </c>
      <c r="R812" s="12">
        <f t="shared" si="500"/>
        <v>6675</v>
      </c>
      <c r="S812" s="12">
        <f t="shared" si="500"/>
        <v>6675</v>
      </c>
      <c r="T812" s="12">
        <f t="shared" si="500"/>
        <v>6675</v>
      </c>
      <c r="U812" s="12">
        <f t="shared" si="500"/>
        <v>6675</v>
      </c>
      <c r="V812" s="12">
        <f t="shared" si="500"/>
        <v>6675</v>
      </c>
      <c r="W812" s="12">
        <f t="shared" si="500"/>
        <v>31675</v>
      </c>
      <c r="X812" s="12">
        <f t="shared" si="500"/>
        <v>31675</v>
      </c>
      <c r="Y812" s="12">
        <f t="shared" si="500"/>
        <v>31675</v>
      </c>
      <c r="Z812" s="12">
        <f t="shared" si="500"/>
        <v>31675</v>
      </c>
      <c r="AA812" s="12">
        <f t="shared" si="500"/>
        <v>31675</v>
      </c>
      <c r="AB812" s="12">
        <f t="shared" si="500"/>
        <v>31675</v>
      </c>
      <c r="AC812" s="12">
        <f>SUM(AC809:AC811)</f>
        <v>230350</v>
      </c>
      <c r="AD812" s="12">
        <f>SUM(AD809:AD811)</f>
        <v>6925</v>
      </c>
      <c r="AE812" s="12">
        <f>SUM(AE809:AE811)</f>
        <v>6675</v>
      </c>
      <c r="AF812" s="12">
        <f t="shared" ref="AF812:AO812" si="501">SUM(AF809:AF811)</f>
        <v>6675</v>
      </c>
      <c r="AG812" s="12">
        <f t="shared" si="501"/>
        <v>6675</v>
      </c>
      <c r="AH812" s="12">
        <f t="shared" si="501"/>
        <v>6675</v>
      </c>
      <c r="AI812" s="12">
        <f t="shared" si="501"/>
        <v>6675</v>
      </c>
      <c r="AJ812" s="12">
        <f t="shared" si="501"/>
        <v>31675</v>
      </c>
      <c r="AK812" s="12">
        <f t="shared" si="501"/>
        <v>31675</v>
      </c>
      <c r="AL812" s="12">
        <f t="shared" si="501"/>
        <v>31675</v>
      </c>
      <c r="AM812" s="12">
        <f t="shared" si="501"/>
        <v>31675</v>
      </c>
      <c r="AN812" s="12">
        <f t="shared" si="501"/>
        <v>31675</v>
      </c>
      <c r="AO812" s="57">
        <f t="shared" si="501"/>
        <v>31675</v>
      </c>
      <c r="AP812" s="12">
        <f>SUM(AP809:AP811)</f>
        <v>230350</v>
      </c>
    </row>
    <row r="813" spans="1:44" x14ac:dyDescent="0.3">
      <c r="C813" s="13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</row>
    <row r="814" spans="1:44" ht="15.5" x14ac:dyDescent="0.35">
      <c r="A814" s="18">
        <f>+A808+1</f>
        <v>102</v>
      </c>
      <c r="B814" s="65"/>
      <c r="C814" s="22" t="s">
        <v>258</v>
      </c>
    </row>
    <row r="815" spans="1:44" x14ac:dyDescent="0.3">
      <c r="C815" s="6" t="s">
        <v>7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f>SUM(D815:O815)</f>
        <v>0</v>
      </c>
      <c r="Q815" s="10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0</v>
      </c>
      <c r="AC815" s="10">
        <f>SUM(Q815:AB815)</f>
        <v>0</v>
      </c>
      <c r="AD815" s="10">
        <v>0</v>
      </c>
      <c r="AE815" s="10">
        <v>0</v>
      </c>
      <c r="AF815" s="10">
        <v>0</v>
      </c>
      <c r="AG815" s="10">
        <v>0</v>
      </c>
      <c r="AH815" s="10">
        <v>0</v>
      </c>
      <c r="AI815" s="10">
        <v>0</v>
      </c>
      <c r="AJ815" s="10">
        <v>0</v>
      </c>
      <c r="AK815" s="10">
        <v>0</v>
      </c>
      <c r="AL815" s="10">
        <v>0</v>
      </c>
      <c r="AM815" s="10">
        <v>0</v>
      </c>
      <c r="AN815" s="10">
        <v>0</v>
      </c>
      <c r="AO815" s="55">
        <v>0</v>
      </c>
      <c r="AP815" s="10">
        <f>SUM(AD815:AO815)</f>
        <v>0</v>
      </c>
    </row>
    <row r="816" spans="1:44" x14ac:dyDescent="0.3">
      <c r="C816" s="6" t="s">
        <v>8</v>
      </c>
      <c r="D816" s="9"/>
      <c r="E816" s="9"/>
      <c r="H816" s="9"/>
      <c r="J816" s="9"/>
      <c r="K816" s="9"/>
      <c r="L816" s="9"/>
      <c r="M816" s="9"/>
      <c r="N816" s="9">
        <v>41.67</v>
      </c>
      <c r="O816" s="9"/>
      <c r="P816" s="10">
        <f>SUM(D816:O816)</f>
        <v>41.67</v>
      </c>
      <c r="Q816" s="9">
        <v>250</v>
      </c>
      <c r="AC816" s="10">
        <f>SUM(Q816:AB816)</f>
        <v>250</v>
      </c>
      <c r="AD816" s="9">
        <v>250</v>
      </c>
      <c r="AE816" s="9"/>
      <c r="AF816" s="9"/>
      <c r="AG816" s="9"/>
      <c r="AH816" s="9"/>
      <c r="AI816" s="9"/>
      <c r="AJ816" s="9"/>
      <c r="AK816" s="9"/>
      <c r="AL816" s="9"/>
      <c r="AM816" s="9"/>
      <c r="AN816" s="23"/>
      <c r="AO816" s="56"/>
      <c r="AP816" s="10">
        <f>SUM(AD816:AO816)</f>
        <v>250</v>
      </c>
    </row>
    <row r="817" spans="1:44" ht="13.5" thickBot="1" x14ac:dyDescent="0.35">
      <c r="C817" s="6" t="s">
        <v>9</v>
      </c>
      <c r="D817" s="10">
        <v>0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f>SUM(D817:O817)</f>
        <v>0</v>
      </c>
      <c r="Q817" s="10">
        <v>18111.53</v>
      </c>
      <c r="R817" s="10">
        <v>18111.53</v>
      </c>
      <c r="S817" s="10">
        <v>18111.53</v>
      </c>
      <c r="T817" s="10">
        <v>18111.53</v>
      </c>
      <c r="U817" s="10">
        <v>18111.53</v>
      </c>
      <c r="V817" s="10">
        <v>18111.52</v>
      </c>
      <c r="W817" s="10">
        <v>35825</v>
      </c>
      <c r="X817" s="10">
        <v>35825</v>
      </c>
      <c r="Y817" s="10">
        <v>35825</v>
      </c>
      <c r="Z817" s="10">
        <v>35825</v>
      </c>
      <c r="AA817" s="10">
        <v>35825</v>
      </c>
      <c r="AB817" s="10">
        <v>35825</v>
      </c>
      <c r="AC817" s="10">
        <f>SUM(Q817:AB817)</f>
        <v>323619.17</v>
      </c>
      <c r="AD817" s="10">
        <v>10341.67</v>
      </c>
      <c r="AE817" s="10">
        <v>10341.67</v>
      </c>
      <c r="AF817" s="10">
        <v>10341.67</v>
      </c>
      <c r="AG817" s="10">
        <v>10341.67</v>
      </c>
      <c r="AH817" s="10">
        <v>10341.67</v>
      </c>
      <c r="AI817" s="10">
        <v>10341.65</v>
      </c>
      <c r="AJ817" s="10">
        <v>35825</v>
      </c>
      <c r="AK817" s="10">
        <v>35825</v>
      </c>
      <c r="AL817" s="10">
        <v>35825</v>
      </c>
      <c r="AM817" s="10">
        <v>35825</v>
      </c>
      <c r="AN817" s="10">
        <v>35825</v>
      </c>
      <c r="AO817" s="55">
        <v>18036.23</v>
      </c>
      <c r="AP817" s="10">
        <f>SUM(AD817:AO817)</f>
        <v>259211.23</v>
      </c>
      <c r="AR817" s="33"/>
    </row>
    <row r="818" spans="1:44" ht="13.5" thickBot="1" x14ac:dyDescent="0.35">
      <c r="C818" s="11" t="s">
        <v>259</v>
      </c>
      <c r="D818" s="12">
        <f t="shared" ref="D818:AB818" si="502">SUM(D815:D817)</f>
        <v>0</v>
      </c>
      <c r="E818" s="12">
        <f t="shared" si="502"/>
        <v>0</v>
      </c>
      <c r="F818" s="12">
        <f t="shared" si="502"/>
        <v>0</v>
      </c>
      <c r="G818" s="12">
        <f t="shared" si="502"/>
        <v>0</v>
      </c>
      <c r="H818" s="12">
        <f t="shared" si="502"/>
        <v>0</v>
      </c>
      <c r="I818" s="12">
        <f t="shared" si="502"/>
        <v>0</v>
      </c>
      <c r="J818" s="12">
        <f t="shared" si="502"/>
        <v>0</v>
      </c>
      <c r="K818" s="12">
        <f t="shared" si="502"/>
        <v>0</v>
      </c>
      <c r="L818" s="12">
        <f t="shared" si="502"/>
        <v>0</v>
      </c>
      <c r="M818" s="12">
        <f t="shared" si="502"/>
        <v>0</v>
      </c>
      <c r="N818" s="12">
        <f t="shared" si="502"/>
        <v>41.67</v>
      </c>
      <c r="O818" s="12">
        <f t="shared" si="502"/>
        <v>0</v>
      </c>
      <c r="P818" s="12">
        <f t="shared" si="502"/>
        <v>41.67</v>
      </c>
      <c r="Q818" s="12">
        <f t="shared" si="502"/>
        <v>18361.53</v>
      </c>
      <c r="R818" s="12">
        <f t="shared" si="502"/>
        <v>18111.53</v>
      </c>
      <c r="S818" s="12">
        <f t="shared" si="502"/>
        <v>18111.53</v>
      </c>
      <c r="T818" s="12">
        <f t="shared" si="502"/>
        <v>18111.53</v>
      </c>
      <c r="U818" s="12">
        <f t="shared" si="502"/>
        <v>18111.53</v>
      </c>
      <c r="V818" s="12">
        <f t="shared" si="502"/>
        <v>18111.52</v>
      </c>
      <c r="W818" s="12">
        <f t="shared" si="502"/>
        <v>35825</v>
      </c>
      <c r="X818" s="12">
        <f t="shared" si="502"/>
        <v>35825</v>
      </c>
      <c r="Y818" s="12">
        <f t="shared" si="502"/>
        <v>35825</v>
      </c>
      <c r="Z818" s="12">
        <f t="shared" si="502"/>
        <v>35825</v>
      </c>
      <c r="AA818" s="12">
        <f t="shared" si="502"/>
        <v>35825</v>
      </c>
      <c r="AB818" s="12">
        <f t="shared" si="502"/>
        <v>35825</v>
      </c>
      <c r="AC818" s="12">
        <f>SUM(AC815:AC817)</f>
        <v>323869.17</v>
      </c>
      <c r="AD818" s="12">
        <f>SUM(AD815:AD817)</f>
        <v>10591.67</v>
      </c>
      <c r="AE818" s="12">
        <f>SUM(AE815:AE817)</f>
        <v>10341.67</v>
      </c>
      <c r="AF818" s="12">
        <f t="shared" ref="AF818:AO818" si="503">SUM(AF815:AF817)</f>
        <v>10341.67</v>
      </c>
      <c r="AG818" s="12">
        <f t="shared" si="503"/>
        <v>10341.67</v>
      </c>
      <c r="AH818" s="12">
        <f t="shared" si="503"/>
        <v>10341.67</v>
      </c>
      <c r="AI818" s="12">
        <f t="shared" si="503"/>
        <v>10341.65</v>
      </c>
      <c r="AJ818" s="12">
        <f t="shared" si="503"/>
        <v>35825</v>
      </c>
      <c r="AK818" s="12">
        <f t="shared" si="503"/>
        <v>35825</v>
      </c>
      <c r="AL818" s="12">
        <f t="shared" si="503"/>
        <v>35825</v>
      </c>
      <c r="AM818" s="12">
        <f t="shared" si="503"/>
        <v>35825</v>
      </c>
      <c r="AN818" s="12">
        <f t="shared" si="503"/>
        <v>35825</v>
      </c>
      <c r="AO818" s="57">
        <f t="shared" si="503"/>
        <v>18036.23</v>
      </c>
      <c r="AP818" s="12">
        <f>SUM(AP815:AP817)</f>
        <v>259461.23</v>
      </c>
    </row>
    <row r="819" spans="1:44" x14ac:dyDescent="0.3">
      <c r="C819" s="13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</row>
    <row r="820" spans="1:44" ht="15.5" x14ac:dyDescent="0.35">
      <c r="A820" s="18">
        <f>+A814+1</f>
        <v>103</v>
      </c>
      <c r="C820" s="22" t="s">
        <v>260</v>
      </c>
    </row>
    <row r="821" spans="1:44" x14ac:dyDescent="0.3">
      <c r="C821" s="6" t="s">
        <v>7</v>
      </c>
      <c r="D821" s="10">
        <v>0</v>
      </c>
      <c r="E821" s="10">
        <v>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f>SUM(D821:O821)</f>
        <v>0</v>
      </c>
      <c r="Q821" s="10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  <c r="AC821" s="10">
        <f>SUM(Q821:AB821)</f>
        <v>0</v>
      </c>
      <c r="AD821" s="10">
        <v>0</v>
      </c>
      <c r="AE821" s="10">
        <v>0</v>
      </c>
      <c r="AF821" s="10">
        <v>0</v>
      </c>
      <c r="AG821" s="10">
        <v>0</v>
      </c>
      <c r="AH821" s="10">
        <v>0</v>
      </c>
      <c r="AI821" s="10">
        <v>0</v>
      </c>
      <c r="AJ821" s="10">
        <v>0</v>
      </c>
      <c r="AK821" s="10">
        <v>0</v>
      </c>
      <c r="AL821" s="10">
        <v>0</v>
      </c>
      <c r="AM821" s="10">
        <v>0</v>
      </c>
      <c r="AN821" s="10">
        <v>0</v>
      </c>
      <c r="AO821" s="55">
        <v>0</v>
      </c>
      <c r="AP821" s="10">
        <f>SUM(AD821:AO821)</f>
        <v>0</v>
      </c>
    </row>
    <row r="822" spans="1:44" x14ac:dyDescent="0.3">
      <c r="C822" s="6" t="s">
        <v>8</v>
      </c>
      <c r="D822" s="9"/>
      <c r="E822" s="9"/>
      <c r="H822" s="9"/>
      <c r="J822" s="9"/>
      <c r="K822" s="9"/>
      <c r="L822" s="9"/>
      <c r="M822" s="9"/>
      <c r="N822" s="9">
        <v>41.67</v>
      </c>
      <c r="O822" s="9"/>
      <c r="P822" s="10">
        <f>SUM(D822:O822)</f>
        <v>41.67</v>
      </c>
      <c r="Q822" s="9">
        <v>250</v>
      </c>
      <c r="AC822" s="10">
        <f>SUM(Q822:AB822)</f>
        <v>250</v>
      </c>
      <c r="AD822" s="9">
        <v>250</v>
      </c>
      <c r="AE822" s="9"/>
      <c r="AF822" s="9"/>
      <c r="AG822" s="9"/>
      <c r="AH822" s="9"/>
      <c r="AI822" s="9"/>
      <c r="AJ822" s="9"/>
      <c r="AK822" s="9"/>
      <c r="AL822" s="9"/>
      <c r="AM822" s="9"/>
      <c r="AN822" s="23"/>
      <c r="AO822" s="56"/>
      <c r="AP822" s="10">
        <f>SUM(AD822:AO822)</f>
        <v>250</v>
      </c>
    </row>
    <row r="823" spans="1:44" ht="13.5" thickBot="1" x14ac:dyDescent="0.35">
      <c r="C823" s="6" t="s">
        <v>9</v>
      </c>
      <c r="D823" s="10">
        <v>0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f>SUM(D823:O823)</f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9">
        <v>26167.02</v>
      </c>
      <c r="AB823" s="9">
        <v>26167.01</v>
      </c>
      <c r="AC823" s="10">
        <f>SUM(Q823:AB823)</f>
        <v>52334.03</v>
      </c>
      <c r="AD823" s="10">
        <f>4583.33+25322.92</f>
        <v>29906.25</v>
      </c>
      <c r="AE823" s="10">
        <f t="shared" ref="AE823:AN823" si="504">4583.33+25322.92</f>
        <v>29906.25</v>
      </c>
      <c r="AF823" s="10">
        <f t="shared" si="504"/>
        <v>29906.25</v>
      </c>
      <c r="AG823" s="10">
        <f t="shared" si="504"/>
        <v>29906.25</v>
      </c>
      <c r="AH823" s="10">
        <f t="shared" si="504"/>
        <v>29906.25</v>
      </c>
      <c r="AI823" s="10">
        <f>4583.33+25322.9</f>
        <v>29906.230000000003</v>
      </c>
      <c r="AJ823" s="10">
        <f t="shared" si="504"/>
        <v>29906.25</v>
      </c>
      <c r="AK823" s="10">
        <f t="shared" si="504"/>
        <v>29906.25</v>
      </c>
      <c r="AL823" s="10">
        <f t="shared" si="504"/>
        <v>29906.25</v>
      </c>
      <c r="AM823" s="10">
        <f t="shared" si="504"/>
        <v>29906.25</v>
      </c>
      <c r="AN823" s="10">
        <f t="shared" si="504"/>
        <v>29906.25</v>
      </c>
      <c r="AO823" s="55">
        <f>4583.37+25322.9</f>
        <v>29906.27</v>
      </c>
      <c r="AP823" s="10">
        <f>SUM(AD823:AO823)</f>
        <v>358875</v>
      </c>
      <c r="AR823" s="33"/>
    </row>
    <row r="824" spans="1:44" ht="13.5" thickBot="1" x14ac:dyDescent="0.35">
      <c r="C824" s="11" t="s">
        <v>261</v>
      </c>
      <c r="D824" s="12">
        <f t="shared" ref="D824:AB824" si="505">SUM(D821:D823)</f>
        <v>0</v>
      </c>
      <c r="E824" s="12">
        <f t="shared" si="505"/>
        <v>0</v>
      </c>
      <c r="F824" s="12">
        <f t="shared" si="505"/>
        <v>0</v>
      </c>
      <c r="G824" s="12">
        <f t="shared" si="505"/>
        <v>0</v>
      </c>
      <c r="H824" s="12">
        <f t="shared" si="505"/>
        <v>0</v>
      </c>
      <c r="I824" s="12">
        <f t="shared" si="505"/>
        <v>0</v>
      </c>
      <c r="J824" s="12">
        <f t="shared" si="505"/>
        <v>0</v>
      </c>
      <c r="K824" s="12">
        <f t="shared" si="505"/>
        <v>0</v>
      </c>
      <c r="L824" s="12">
        <f t="shared" si="505"/>
        <v>0</v>
      </c>
      <c r="M824" s="12">
        <f t="shared" si="505"/>
        <v>0</v>
      </c>
      <c r="N824" s="12">
        <f t="shared" si="505"/>
        <v>41.67</v>
      </c>
      <c r="O824" s="12">
        <f t="shared" si="505"/>
        <v>0</v>
      </c>
      <c r="P824" s="12">
        <f t="shared" si="505"/>
        <v>41.67</v>
      </c>
      <c r="Q824" s="12">
        <f t="shared" si="505"/>
        <v>250</v>
      </c>
      <c r="R824" s="12">
        <f t="shared" si="505"/>
        <v>0</v>
      </c>
      <c r="S824" s="12">
        <f t="shared" si="505"/>
        <v>0</v>
      </c>
      <c r="T824" s="12">
        <f t="shared" si="505"/>
        <v>0</v>
      </c>
      <c r="U824" s="12">
        <f t="shared" si="505"/>
        <v>0</v>
      </c>
      <c r="V824" s="12">
        <f t="shared" si="505"/>
        <v>0</v>
      </c>
      <c r="W824" s="12">
        <f t="shared" si="505"/>
        <v>0</v>
      </c>
      <c r="X824" s="12">
        <f t="shared" si="505"/>
        <v>0</v>
      </c>
      <c r="Y824" s="12">
        <f t="shared" si="505"/>
        <v>0</v>
      </c>
      <c r="Z824" s="12">
        <f t="shared" si="505"/>
        <v>0</v>
      </c>
      <c r="AA824" s="12">
        <f t="shared" si="505"/>
        <v>26167.02</v>
      </c>
      <c r="AB824" s="12">
        <f t="shared" si="505"/>
        <v>26167.01</v>
      </c>
      <c r="AC824" s="12">
        <f>SUM(AC821:AC823)</f>
        <v>52584.03</v>
      </c>
      <c r="AD824" s="12">
        <f>SUM(AD821:AD823)</f>
        <v>30156.25</v>
      </c>
      <c r="AE824" s="12">
        <f>SUM(AE821:AE823)</f>
        <v>29906.25</v>
      </c>
      <c r="AF824" s="12">
        <f t="shared" ref="AF824:AO824" si="506">SUM(AF821:AF823)</f>
        <v>29906.25</v>
      </c>
      <c r="AG824" s="12">
        <f t="shared" si="506"/>
        <v>29906.25</v>
      </c>
      <c r="AH824" s="12">
        <f t="shared" si="506"/>
        <v>29906.25</v>
      </c>
      <c r="AI824" s="12">
        <f t="shared" si="506"/>
        <v>29906.230000000003</v>
      </c>
      <c r="AJ824" s="12">
        <f t="shared" si="506"/>
        <v>29906.25</v>
      </c>
      <c r="AK824" s="12">
        <f t="shared" si="506"/>
        <v>29906.25</v>
      </c>
      <c r="AL824" s="12">
        <f t="shared" si="506"/>
        <v>29906.25</v>
      </c>
      <c r="AM824" s="12">
        <f t="shared" si="506"/>
        <v>29906.25</v>
      </c>
      <c r="AN824" s="12">
        <f t="shared" si="506"/>
        <v>29906.25</v>
      </c>
      <c r="AO824" s="57">
        <f t="shared" si="506"/>
        <v>29906.27</v>
      </c>
      <c r="AP824" s="12">
        <f>SUM(AP821:AP823)</f>
        <v>359125</v>
      </c>
    </row>
    <row r="825" spans="1:44" x14ac:dyDescent="0.3">
      <c r="C825" s="13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</row>
    <row r="826" spans="1:44" ht="15.5" x14ac:dyDescent="0.35">
      <c r="A826" s="18">
        <f>+A820+1</f>
        <v>104</v>
      </c>
      <c r="C826" s="22" t="s">
        <v>262</v>
      </c>
    </row>
    <row r="827" spans="1:44" x14ac:dyDescent="0.3">
      <c r="C827" s="6" t="s">
        <v>7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f>SUM(D827:O827)</f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0</v>
      </c>
      <c r="Y827" s="10">
        <v>0</v>
      </c>
      <c r="Z827" s="10">
        <v>0</v>
      </c>
      <c r="AA827" s="10">
        <v>0</v>
      </c>
      <c r="AB827" s="10">
        <v>0</v>
      </c>
      <c r="AC827" s="10">
        <f>SUM(Q827:AB827)</f>
        <v>0</v>
      </c>
      <c r="AD827" s="10">
        <v>0</v>
      </c>
      <c r="AE827" s="10">
        <v>0</v>
      </c>
      <c r="AF827" s="10">
        <v>0</v>
      </c>
      <c r="AG827" s="10">
        <v>0</v>
      </c>
      <c r="AH827" s="10">
        <v>0</v>
      </c>
      <c r="AI827" s="10">
        <v>0</v>
      </c>
      <c r="AJ827" s="10">
        <v>0</v>
      </c>
      <c r="AK827" s="10">
        <v>0</v>
      </c>
      <c r="AL827" s="10">
        <v>0</v>
      </c>
      <c r="AM827" s="10">
        <v>0</v>
      </c>
      <c r="AN827" s="10">
        <v>0</v>
      </c>
      <c r="AO827" s="55">
        <v>0</v>
      </c>
      <c r="AP827" s="10">
        <f>SUM(AD827:AO827)</f>
        <v>0</v>
      </c>
    </row>
    <row r="828" spans="1:44" x14ac:dyDescent="0.3">
      <c r="C828" s="6" t="s">
        <v>8</v>
      </c>
      <c r="D828" s="9"/>
      <c r="E828" s="9"/>
      <c r="H828" s="9"/>
      <c r="J828" s="9"/>
      <c r="K828" s="9"/>
      <c r="L828" s="9"/>
      <c r="M828" s="9"/>
      <c r="N828" s="9"/>
      <c r="O828" s="9">
        <v>20.83</v>
      </c>
      <c r="P828" s="10">
        <f>SUM(D828:O828)</f>
        <v>20.83</v>
      </c>
      <c r="Q828" s="9">
        <v>250</v>
      </c>
      <c r="AC828" s="10">
        <f>SUM(Q828:AB828)</f>
        <v>250</v>
      </c>
      <c r="AD828" s="9">
        <v>250</v>
      </c>
      <c r="AE828" s="9"/>
      <c r="AF828" s="9"/>
      <c r="AG828" s="9"/>
      <c r="AH828" s="9"/>
      <c r="AI828" s="9"/>
      <c r="AJ828" s="9"/>
      <c r="AK828" s="9"/>
      <c r="AL828" s="9"/>
      <c r="AM828" s="9"/>
      <c r="AN828" s="23"/>
      <c r="AO828" s="56"/>
      <c r="AP828" s="10">
        <f>SUM(AD828:AO828)</f>
        <v>250</v>
      </c>
    </row>
    <row r="829" spans="1:44" ht="13.5" thickBot="1" x14ac:dyDescent="0.35">
      <c r="C829" s="6" t="s">
        <v>9</v>
      </c>
      <c r="D829" s="10">
        <v>0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f>8333.33+37153.36</f>
        <v>45486.69</v>
      </c>
      <c r="P829" s="10">
        <f>SUM(D829:O829)</f>
        <v>45486.69</v>
      </c>
      <c r="Q829" s="10">
        <f>8333.33+37153.36</f>
        <v>45486.69</v>
      </c>
      <c r="R829" s="10">
        <f>8333.33+37153.35</f>
        <v>45486.68</v>
      </c>
      <c r="S829" s="15">
        <f>8333.33+26966.15-530.42</f>
        <v>34769.060000000005</v>
      </c>
      <c r="T829" s="9">
        <f>8333.33+26966.15</f>
        <v>35299.480000000003</v>
      </c>
      <c r="U829" s="9">
        <f>8333.33+26966.15</f>
        <v>35299.480000000003</v>
      </c>
      <c r="V829" s="9">
        <f>8333.33+26966.15</f>
        <v>35299.480000000003</v>
      </c>
      <c r="W829" s="9">
        <f>8333.33+26966.15</f>
        <v>35299.480000000003</v>
      </c>
      <c r="X829" s="9">
        <f>8333.36+26966.13</f>
        <v>35299.490000000005</v>
      </c>
      <c r="Y829" s="9">
        <f>8333.33+26638.02</f>
        <v>34971.35</v>
      </c>
      <c r="Z829" s="9">
        <f>8333.33+26638.02</f>
        <v>34971.35</v>
      </c>
      <c r="AA829" s="9">
        <f>8333.33+26638.02</f>
        <v>34971.35</v>
      </c>
      <c r="AB829" s="9">
        <f>8333.33+26638.02</f>
        <v>34971.35</v>
      </c>
      <c r="AC829" s="10">
        <f>SUM(Q829:AB829)</f>
        <v>442125.23999999993</v>
      </c>
      <c r="AD829" s="9">
        <f t="shared" ref="AD829:AJ829" si="507">8333.33+26638.02</f>
        <v>34971.35</v>
      </c>
      <c r="AE829" s="9">
        <f>8333.33+26638.03</f>
        <v>34971.360000000001</v>
      </c>
      <c r="AF829" s="9">
        <f t="shared" si="507"/>
        <v>34971.35</v>
      </c>
      <c r="AG829" s="9">
        <f t="shared" si="507"/>
        <v>34971.35</v>
      </c>
      <c r="AH829" s="9">
        <f t="shared" si="507"/>
        <v>34971.35</v>
      </c>
      <c r="AI829" s="9">
        <f t="shared" si="507"/>
        <v>34971.35</v>
      </c>
      <c r="AJ829" s="9">
        <f t="shared" si="507"/>
        <v>34971.35</v>
      </c>
      <c r="AK829" s="9">
        <f>8333.37+26638.03</f>
        <v>34971.4</v>
      </c>
      <c r="AL829" s="10">
        <f>8750+26200.52</f>
        <v>34950.520000000004</v>
      </c>
      <c r="AM829" s="10">
        <f>8750+26200.52</f>
        <v>34950.520000000004</v>
      </c>
      <c r="AN829" s="10">
        <f>8750+26200.52</f>
        <v>34950.520000000004</v>
      </c>
      <c r="AO829" s="55">
        <f>8750+26200.52</f>
        <v>34950.520000000004</v>
      </c>
      <c r="AP829" s="10">
        <f>SUM(AD829:AO829)</f>
        <v>419572.94000000012</v>
      </c>
      <c r="AR829" s="33"/>
    </row>
    <row r="830" spans="1:44" ht="13.5" thickBot="1" x14ac:dyDescent="0.35">
      <c r="C830" s="11" t="s">
        <v>12</v>
      </c>
      <c r="D830" s="12">
        <f t="shared" ref="D830:AB830" si="508">SUM(D827:D829)</f>
        <v>0</v>
      </c>
      <c r="E830" s="12">
        <f t="shared" si="508"/>
        <v>0</v>
      </c>
      <c r="F830" s="12">
        <f t="shared" si="508"/>
        <v>0</v>
      </c>
      <c r="G830" s="12">
        <f t="shared" si="508"/>
        <v>0</v>
      </c>
      <c r="H830" s="12">
        <f t="shared" si="508"/>
        <v>0</v>
      </c>
      <c r="I830" s="12">
        <f t="shared" si="508"/>
        <v>0</v>
      </c>
      <c r="J830" s="12">
        <f t="shared" si="508"/>
        <v>0</v>
      </c>
      <c r="K830" s="12">
        <f t="shared" si="508"/>
        <v>0</v>
      </c>
      <c r="L830" s="12">
        <f t="shared" si="508"/>
        <v>0</v>
      </c>
      <c r="M830" s="12">
        <f t="shared" si="508"/>
        <v>0</v>
      </c>
      <c r="N830" s="12">
        <f t="shared" si="508"/>
        <v>0</v>
      </c>
      <c r="O830" s="12">
        <f t="shared" si="508"/>
        <v>45507.520000000004</v>
      </c>
      <c r="P830" s="12">
        <f t="shared" si="508"/>
        <v>45507.520000000004</v>
      </c>
      <c r="Q830" s="12">
        <f t="shared" si="508"/>
        <v>45736.69</v>
      </c>
      <c r="R830" s="12">
        <f t="shared" si="508"/>
        <v>45486.68</v>
      </c>
      <c r="S830" s="12">
        <f t="shared" si="508"/>
        <v>34769.060000000005</v>
      </c>
      <c r="T830" s="12">
        <f t="shared" si="508"/>
        <v>35299.480000000003</v>
      </c>
      <c r="U830" s="12">
        <f t="shared" si="508"/>
        <v>35299.480000000003</v>
      </c>
      <c r="V830" s="12">
        <f t="shared" si="508"/>
        <v>35299.480000000003</v>
      </c>
      <c r="W830" s="12">
        <f t="shared" si="508"/>
        <v>35299.480000000003</v>
      </c>
      <c r="X830" s="12">
        <f t="shared" si="508"/>
        <v>35299.490000000005</v>
      </c>
      <c r="Y830" s="12">
        <f t="shared" si="508"/>
        <v>34971.35</v>
      </c>
      <c r="Z830" s="12">
        <f t="shared" si="508"/>
        <v>34971.35</v>
      </c>
      <c r="AA830" s="12">
        <f t="shared" si="508"/>
        <v>34971.35</v>
      </c>
      <c r="AB830" s="12">
        <f t="shared" si="508"/>
        <v>34971.35</v>
      </c>
      <c r="AC830" s="12">
        <f>SUM(AC827:AC829)</f>
        <v>442375.23999999993</v>
      </c>
      <c r="AD830" s="12">
        <f>SUM(AD827:AD829)</f>
        <v>35221.35</v>
      </c>
      <c r="AE830" s="12">
        <f>SUM(AE827:AE829)</f>
        <v>34971.360000000001</v>
      </c>
      <c r="AF830" s="12">
        <f t="shared" ref="AF830:AO830" si="509">SUM(AF827:AF829)</f>
        <v>34971.35</v>
      </c>
      <c r="AG830" s="12">
        <f t="shared" si="509"/>
        <v>34971.35</v>
      </c>
      <c r="AH830" s="12">
        <f t="shared" si="509"/>
        <v>34971.35</v>
      </c>
      <c r="AI830" s="12">
        <f t="shared" si="509"/>
        <v>34971.35</v>
      </c>
      <c r="AJ830" s="12">
        <f t="shared" si="509"/>
        <v>34971.35</v>
      </c>
      <c r="AK830" s="12">
        <f t="shared" si="509"/>
        <v>34971.4</v>
      </c>
      <c r="AL830" s="12">
        <f t="shared" si="509"/>
        <v>34950.520000000004</v>
      </c>
      <c r="AM830" s="12">
        <f t="shared" si="509"/>
        <v>34950.520000000004</v>
      </c>
      <c r="AN830" s="12">
        <f t="shared" si="509"/>
        <v>34950.520000000004</v>
      </c>
      <c r="AO830" s="57">
        <f t="shared" si="509"/>
        <v>34950.520000000004</v>
      </c>
      <c r="AP830" s="12">
        <f>SUM(AP827:AP829)</f>
        <v>419822.94000000012</v>
      </c>
    </row>
    <row r="831" spans="1:44" x14ac:dyDescent="0.3">
      <c r="C831" s="13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</row>
    <row r="832" spans="1:44" ht="15.5" x14ac:dyDescent="0.35">
      <c r="A832" s="18">
        <f>+A826+1</f>
        <v>105</v>
      </c>
      <c r="B832" s="1" t="s">
        <v>141</v>
      </c>
      <c r="C832" s="22" t="s">
        <v>263</v>
      </c>
    </row>
    <row r="833" spans="1:44" x14ac:dyDescent="0.3">
      <c r="C833" s="6" t="s">
        <v>7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f>SUM(D833:O833)</f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28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>
        <v>0</v>
      </c>
      <c r="AC833" s="10">
        <f>SUM(Q833:AB833)</f>
        <v>0</v>
      </c>
      <c r="AD833" s="10">
        <v>0</v>
      </c>
      <c r="AE833" s="10">
        <v>0</v>
      </c>
      <c r="AF833" s="10">
        <v>0</v>
      </c>
      <c r="AG833" s="10">
        <v>0</v>
      </c>
      <c r="AH833" s="10">
        <v>0</v>
      </c>
      <c r="AI833" s="10">
        <v>0</v>
      </c>
      <c r="AJ833" s="10">
        <v>0</v>
      </c>
      <c r="AK833" s="10">
        <v>0</v>
      </c>
      <c r="AL833" s="10">
        <v>0</v>
      </c>
      <c r="AM833" s="10">
        <v>0</v>
      </c>
      <c r="AN833" s="10">
        <v>0</v>
      </c>
      <c r="AO833" s="55">
        <v>0</v>
      </c>
      <c r="AP833" s="10">
        <f>SUM(AD833:AO833)</f>
        <v>0</v>
      </c>
    </row>
    <row r="834" spans="1:44" x14ac:dyDescent="0.3">
      <c r="C834" s="6" t="s">
        <v>8</v>
      </c>
      <c r="D834" s="9"/>
      <c r="E834" s="9"/>
      <c r="H834" s="9"/>
      <c r="J834" s="9"/>
      <c r="K834" s="9"/>
      <c r="L834" s="9"/>
      <c r="M834" s="9"/>
      <c r="N834" s="9"/>
      <c r="O834" s="9">
        <f>ROUND(20.83*0.42,2)</f>
        <v>8.75</v>
      </c>
      <c r="P834" s="10">
        <f>SUM(D834:O834)</f>
        <v>8.75</v>
      </c>
      <c r="Q834" s="9">
        <f>ROUND(250*0.42,2)</f>
        <v>105</v>
      </c>
      <c r="V834" s="15">
        <v>5.97</v>
      </c>
      <c r="AC834" s="10">
        <f>SUM(Q834:AB834)</f>
        <v>110.97</v>
      </c>
      <c r="AD834" s="9">
        <f>ROUND(250*0.4439,2)</f>
        <v>110.98</v>
      </c>
      <c r="AE834" s="9"/>
      <c r="AF834" s="9"/>
      <c r="AG834" s="9"/>
      <c r="AH834" s="9"/>
      <c r="AI834" s="9"/>
      <c r="AJ834" s="9"/>
      <c r="AK834" s="9"/>
      <c r="AL834" s="9"/>
      <c r="AM834" s="9"/>
      <c r="AN834" s="23"/>
      <c r="AO834" s="56"/>
      <c r="AP834" s="10">
        <f>SUM(AD834:AO834)</f>
        <v>110.98</v>
      </c>
    </row>
    <row r="835" spans="1:44" ht="13.5" thickBot="1" x14ac:dyDescent="0.35">
      <c r="C835" s="6" t="s">
        <v>9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f>ROUND((60000+436095.14)*0.42,2)</f>
        <v>208359.96</v>
      </c>
      <c r="P835" s="10">
        <f>SUM(D835:O835)</f>
        <v>208359.96</v>
      </c>
      <c r="Q835" s="10">
        <f>ROUND((55833.33+373495.83)*0.42,2)</f>
        <v>180318.25</v>
      </c>
      <c r="R835" s="10">
        <f>ROUND((55833.33+373495.83)*0.42,2)</f>
        <v>180318.25</v>
      </c>
      <c r="S835" s="10">
        <f>ROUND((55833.33+373495.83)*0.42,2)</f>
        <v>180318.25</v>
      </c>
      <c r="T835" s="10">
        <f>ROUND((55833.33+373495.83)*0.42,2)</f>
        <v>180318.25</v>
      </c>
      <c r="U835" s="10">
        <f>ROUND((55833.33+373495.83)*0.42,2)</f>
        <v>180318.25</v>
      </c>
      <c r="V835" s="28">
        <f>ROUND((55833.33+373495.85)*0.4439,2)+51304.8</f>
        <v>241884.02000000002</v>
      </c>
      <c r="W835" s="10">
        <f>ROUND((55833.33+373495.83)*0.4439,2)</f>
        <v>190579.21</v>
      </c>
      <c r="X835" s="10">
        <f>ROUND((55833.33+373495.83)*0.4439,2)</f>
        <v>190579.21</v>
      </c>
      <c r="Y835" s="10">
        <f>ROUND((55833.33+373495.83)*0.4439,2)</f>
        <v>190579.21</v>
      </c>
      <c r="Z835" s="10">
        <f>ROUND((55833.33+373495.83)*0.4439,2)</f>
        <v>190579.21</v>
      </c>
      <c r="AA835" s="10">
        <f>ROUND((55833.33+373495.83)*0.4439,2)</f>
        <v>190579.21</v>
      </c>
      <c r="AB835" s="10">
        <f>ROUND((55833.37+373495.85)*0.4439,2)</f>
        <v>190579.24</v>
      </c>
      <c r="AC835" s="10">
        <f>SUM(Q835:AB835)</f>
        <v>2286950.5599999996</v>
      </c>
      <c r="AD835" s="10">
        <f>ROUND((59166.67+370145.83)*0.4439,2)</f>
        <v>190571.82</v>
      </c>
      <c r="AE835" s="10">
        <f t="shared" ref="AE835:AN835" si="510">ROUND((59166.67+370145.83)*0.4439,2)</f>
        <v>190571.82</v>
      </c>
      <c r="AF835" s="10">
        <f t="shared" si="510"/>
        <v>190571.82</v>
      </c>
      <c r="AG835" s="10">
        <f t="shared" si="510"/>
        <v>190571.82</v>
      </c>
      <c r="AH835" s="10">
        <f t="shared" si="510"/>
        <v>190571.82</v>
      </c>
      <c r="AI835" s="10">
        <f>ROUND((59166.67+370145.85)*0.4439,2)</f>
        <v>190571.83</v>
      </c>
      <c r="AJ835" s="10">
        <f t="shared" si="510"/>
        <v>190571.82</v>
      </c>
      <c r="AK835" s="10">
        <f t="shared" si="510"/>
        <v>190571.82</v>
      </c>
      <c r="AL835" s="10">
        <f t="shared" si="510"/>
        <v>190571.82</v>
      </c>
      <c r="AM835" s="10">
        <f t="shared" si="510"/>
        <v>190571.82</v>
      </c>
      <c r="AN835" s="10">
        <f t="shared" si="510"/>
        <v>190571.82</v>
      </c>
      <c r="AO835" s="55">
        <f>ROUND((59166.63+370145.85)*0.4439,2)</f>
        <v>190571.81</v>
      </c>
      <c r="AP835" s="10">
        <f>SUM(AD835:AO835)</f>
        <v>2286861.8400000003</v>
      </c>
      <c r="AR835" s="33"/>
    </row>
    <row r="836" spans="1:44" ht="13.5" thickBot="1" x14ac:dyDescent="0.35">
      <c r="C836" s="11" t="s">
        <v>264</v>
      </c>
      <c r="D836" s="12">
        <f t="shared" ref="D836:AB836" si="511">SUM(D833:D835)</f>
        <v>0</v>
      </c>
      <c r="E836" s="12">
        <f t="shared" si="511"/>
        <v>0</v>
      </c>
      <c r="F836" s="12">
        <f t="shared" si="511"/>
        <v>0</v>
      </c>
      <c r="G836" s="12">
        <f t="shared" si="511"/>
        <v>0</v>
      </c>
      <c r="H836" s="12">
        <f t="shared" si="511"/>
        <v>0</v>
      </c>
      <c r="I836" s="12">
        <f t="shared" si="511"/>
        <v>0</v>
      </c>
      <c r="J836" s="12">
        <f t="shared" si="511"/>
        <v>0</v>
      </c>
      <c r="K836" s="12">
        <f t="shared" si="511"/>
        <v>0</v>
      </c>
      <c r="L836" s="12">
        <f t="shared" si="511"/>
        <v>0</v>
      </c>
      <c r="M836" s="12">
        <f t="shared" si="511"/>
        <v>0</v>
      </c>
      <c r="N836" s="12">
        <f t="shared" si="511"/>
        <v>0</v>
      </c>
      <c r="O836" s="12">
        <f t="shared" si="511"/>
        <v>208368.71</v>
      </c>
      <c r="P836" s="12">
        <f t="shared" si="511"/>
        <v>208368.71</v>
      </c>
      <c r="Q836" s="12">
        <f t="shared" si="511"/>
        <v>180423.25</v>
      </c>
      <c r="R836" s="12">
        <f t="shared" si="511"/>
        <v>180318.25</v>
      </c>
      <c r="S836" s="12">
        <f t="shared" si="511"/>
        <v>180318.25</v>
      </c>
      <c r="T836" s="12">
        <f t="shared" si="511"/>
        <v>180318.25</v>
      </c>
      <c r="U836" s="12">
        <f t="shared" si="511"/>
        <v>180318.25</v>
      </c>
      <c r="V836" s="17">
        <f t="shared" si="511"/>
        <v>241889.99000000002</v>
      </c>
      <c r="W836" s="12">
        <f t="shared" si="511"/>
        <v>190579.21</v>
      </c>
      <c r="X836" s="12">
        <f t="shared" si="511"/>
        <v>190579.21</v>
      </c>
      <c r="Y836" s="12">
        <f t="shared" si="511"/>
        <v>190579.21</v>
      </c>
      <c r="Z836" s="12">
        <f t="shared" si="511"/>
        <v>190579.21</v>
      </c>
      <c r="AA836" s="12">
        <f t="shared" si="511"/>
        <v>190579.21</v>
      </c>
      <c r="AB836" s="12">
        <f t="shared" si="511"/>
        <v>190579.24</v>
      </c>
      <c r="AC836" s="12">
        <f>SUM(AC833:AC835)</f>
        <v>2287061.5299999998</v>
      </c>
      <c r="AD836" s="12">
        <f>SUM(AD833:AD835)</f>
        <v>190682.80000000002</v>
      </c>
      <c r="AE836" s="12">
        <f>SUM(AE833:AE835)</f>
        <v>190571.82</v>
      </c>
      <c r="AF836" s="12">
        <f t="shared" ref="AF836:AO836" si="512">SUM(AF833:AF835)</f>
        <v>190571.82</v>
      </c>
      <c r="AG836" s="12">
        <f t="shared" si="512"/>
        <v>190571.82</v>
      </c>
      <c r="AH836" s="12">
        <f t="shared" si="512"/>
        <v>190571.82</v>
      </c>
      <c r="AI836" s="12">
        <f t="shared" si="512"/>
        <v>190571.83</v>
      </c>
      <c r="AJ836" s="12">
        <f t="shared" si="512"/>
        <v>190571.82</v>
      </c>
      <c r="AK836" s="12">
        <f t="shared" si="512"/>
        <v>190571.82</v>
      </c>
      <c r="AL836" s="12">
        <f t="shared" si="512"/>
        <v>190571.82</v>
      </c>
      <c r="AM836" s="12">
        <f t="shared" si="512"/>
        <v>190571.82</v>
      </c>
      <c r="AN836" s="12">
        <f t="shared" si="512"/>
        <v>190571.82</v>
      </c>
      <c r="AO836" s="57">
        <f t="shared" si="512"/>
        <v>190571.81</v>
      </c>
      <c r="AP836" s="12">
        <f>SUM(AP833:AP835)</f>
        <v>2286972.8200000003</v>
      </c>
    </row>
    <row r="837" spans="1:44" x14ac:dyDescent="0.3">
      <c r="C837" s="13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V837" s="31"/>
    </row>
    <row r="838" spans="1:44" ht="15.5" x14ac:dyDescent="0.35">
      <c r="A838" s="18">
        <f>A832</f>
        <v>105</v>
      </c>
      <c r="B838" s="1" t="s">
        <v>144</v>
      </c>
      <c r="C838" s="22" t="s">
        <v>265</v>
      </c>
      <c r="V838" s="31"/>
    </row>
    <row r="839" spans="1:44" x14ac:dyDescent="0.3">
      <c r="C839" s="6" t="s">
        <v>7</v>
      </c>
      <c r="D839" s="10">
        <v>0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f>SUM(D839:O839)</f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28">
        <v>0</v>
      </c>
      <c r="W839" s="10">
        <v>0</v>
      </c>
      <c r="X839" s="10">
        <v>0</v>
      </c>
      <c r="Y839" s="10">
        <v>0</v>
      </c>
      <c r="Z839" s="10">
        <v>0</v>
      </c>
      <c r="AA839" s="10">
        <v>0</v>
      </c>
      <c r="AB839" s="10">
        <v>0</v>
      </c>
      <c r="AC839" s="10">
        <f>SUM(Q839:AB839)</f>
        <v>0</v>
      </c>
      <c r="AD839" s="10">
        <v>0</v>
      </c>
      <c r="AE839" s="10">
        <v>0</v>
      </c>
      <c r="AF839" s="10">
        <v>0</v>
      </c>
      <c r="AG839" s="10">
        <v>0</v>
      </c>
      <c r="AH839" s="10">
        <v>0</v>
      </c>
      <c r="AI839" s="10">
        <v>0</v>
      </c>
      <c r="AJ839" s="10">
        <v>0</v>
      </c>
      <c r="AK839" s="10">
        <v>0</v>
      </c>
      <c r="AL839" s="10">
        <v>0</v>
      </c>
      <c r="AM839" s="10">
        <v>0</v>
      </c>
      <c r="AN839" s="10">
        <v>0</v>
      </c>
      <c r="AO839" s="55">
        <v>0</v>
      </c>
      <c r="AP839" s="10">
        <f>SUM(AD839:AO839)</f>
        <v>0</v>
      </c>
    </row>
    <row r="840" spans="1:44" x14ac:dyDescent="0.3">
      <c r="C840" s="6" t="s">
        <v>8</v>
      </c>
      <c r="D840" s="9"/>
      <c r="E840" s="9"/>
      <c r="H840" s="9"/>
      <c r="J840" s="9"/>
      <c r="K840" s="9"/>
      <c r="L840" s="9"/>
      <c r="M840" s="9"/>
      <c r="N840" s="9"/>
      <c r="O840" s="9">
        <f>ROUND(20.83*0.58,2)</f>
        <v>12.08</v>
      </c>
      <c r="P840" s="10">
        <f>SUM(D840:O840)</f>
        <v>12.08</v>
      </c>
      <c r="Q840" s="9">
        <f>ROUND(250*0.58,2)</f>
        <v>145</v>
      </c>
      <c r="V840" s="15">
        <v>-5.97</v>
      </c>
      <c r="AC840" s="10">
        <f>SUM(Q840:AB840)</f>
        <v>139.03</v>
      </c>
      <c r="AD840" s="9">
        <f>ROUND(250*0.5561,2)-0.01</f>
        <v>139.02000000000001</v>
      </c>
      <c r="AE840" s="9"/>
      <c r="AF840" s="9"/>
      <c r="AG840" s="9"/>
      <c r="AH840" s="9"/>
      <c r="AI840" s="9"/>
      <c r="AJ840" s="9"/>
      <c r="AK840" s="9"/>
      <c r="AL840" s="9"/>
      <c r="AM840" s="9"/>
      <c r="AN840" s="23"/>
      <c r="AO840" s="56"/>
      <c r="AP840" s="10">
        <f>SUM(AD840:AO840)</f>
        <v>139.02000000000001</v>
      </c>
    </row>
    <row r="841" spans="1:44" ht="13.5" thickBot="1" x14ac:dyDescent="0.35">
      <c r="C841" s="6" t="s">
        <v>9</v>
      </c>
      <c r="D841" s="10">
        <v>0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f>ROUND((60000+436095.14)*0.58,2)</f>
        <v>287735.18</v>
      </c>
      <c r="P841" s="10">
        <f>SUM(D841:O841)</f>
        <v>287735.18</v>
      </c>
      <c r="Q841" s="10">
        <f>ROUND((55833.33+373495.83)*0.58,2)</f>
        <v>249010.91</v>
      </c>
      <c r="R841" s="10">
        <f>ROUND((55833.33+373495.83)*0.58,2)</f>
        <v>249010.91</v>
      </c>
      <c r="S841" s="10">
        <f>ROUND((55833.33+373495.83)*0.58,2)</f>
        <v>249010.91</v>
      </c>
      <c r="T841" s="10">
        <f>ROUND((55833.33+373495.83)*0.58,2)</f>
        <v>249010.91</v>
      </c>
      <c r="U841" s="10">
        <f>ROUND((55833.33+373495.83)*0.58,2)</f>
        <v>249010.91</v>
      </c>
      <c r="V841" s="28">
        <f>ROUND((55833.33+373495.85)*0.5561,2)-51304.8</f>
        <v>187445.15999999997</v>
      </c>
      <c r="W841" s="10">
        <f>ROUND((55833.33+373495.83)*0.5561,2)</f>
        <v>238749.95</v>
      </c>
      <c r="X841" s="10">
        <f>ROUND((55833.33+373495.83)*0.5561,2)</f>
        <v>238749.95</v>
      </c>
      <c r="Y841" s="10">
        <f>ROUND((55833.33+373495.83)*0.5561,2)</f>
        <v>238749.95</v>
      </c>
      <c r="Z841" s="10">
        <f>ROUND((55833.33+373495.83)*0.5561,2)</f>
        <v>238749.95</v>
      </c>
      <c r="AA841" s="10">
        <f>ROUND((55833.33+373495.83)*0.5561,2)</f>
        <v>238749.95</v>
      </c>
      <c r="AB841" s="10">
        <f>ROUND((55833.37+373495.85)*0.5561,2)</f>
        <v>238749.98</v>
      </c>
      <c r="AC841" s="10">
        <f>SUM(Q841:AB841)</f>
        <v>2864999.4400000004</v>
      </c>
      <c r="AD841" s="10">
        <f>ROUND((59166.67+370145.83)*0.5561,2)</f>
        <v>238740.68</v>
      </c>
      <c r="AE841" s="10">
        <f t="shared" ref="AE841:AN841" si="513">ROUND((59166.67+370145.83)*0.5561,2)</f>
        <v>238740.68</v>
      </c>
      <c r="AF841" s="10">
        <f t="shared" si="513"/>
        <v>238740.68</v>
      </c>
      <c r="AG841" s="10">
        <f t="shared" si="513"/>
        <v>238740.68</v>
      </c>
      <c r="AH841" s="10">
        <f t="shared" si="513"/>
        <v>238740.68</v>
      </c>
      <c r="AI841" s="10">
        <f>ROUND((59166.67+370145.85)*0.5561,2)</f>
        <v>238740.69</v>
      </c>
      <c r="AJ841" s="10">
        <f t="shared" si="513"/>
        <v>238740.68</v>
      </c>
      <c r="AK841" s="10">
        <f t="shared" si="513"/>
        <v>238740.68</v>
      </c>
      <c r="AL841" s="10">
        <f t="shared" si="513"/>
        <v>238740.68</v>
      </c>
      <c r="AM841" s="10">
        <f t="shared" si="513"/>
        <v>238740.68</v>
      </c>
      <c r="AN841" s="10">
        <f t="shared" si="513"/>
        <v>238740.68</v>
      </c>
      <c r="AO841" s="55">
        <f>ROUND((59166.63+370145.85)*0.5561,2)</f>
        <v>238740.67</v>
      </c>
      <c r="AP841" s="10">
        <f>SUM(AD841:AO841)</f>
        <v>2864888.16</v>
      </c>
      <c r="AR841" s="33"/>
    </row>
    <row r="842" spans="1:44" ht="13.5" thickBot="1" x14ac:dyDescent="0.35">
      <c r="C842" s="11" t="s">
        <v>266</v>
      </c>
      <c r="D842" s="12">
        <f t="shared" ref="D842:AB842" si="514">SUM(D839:D841)</f>
        <v>0</v>
      </c>
      <c r="E842" s="12">
        <f t="shared" si="514"/>
        <v>0</v>
      </c>
      <c r="F842" s="12">
        <f t="shared" si="514"/>
        <v>0</v>
      </c>
      <c r="G842" s="12">
        <f t="shared" si="514"/>
        <v>0</v>
      </c>
      <c r="H842" s="12">
        <f t="shared" si="514"/>
        <v>0</v>
      </c>
      <c r="I842" s="12">
        <f t="shared" si="514"/>
        <v>0</v>
      </c>
      <c r="J842" s="12">
        <f t="shared" si="514"/>
        <v>0</v>
      </c>
      <c r="K842" s="12">
        <f t="shared" si="514"/>
        <v>0</v>
      </c>
      <c r="L842" s="12">
        <f t="shared" si="514"/>
        <v>0</v>
      </c>
      <c r="M842" s="12">
        <f t="shared" si="514"/>
        <v>0</v>
      </c>
      <c r="N842" s="12">
        <f t="shared" si="514"/>
        <v>0</v>
      </c>
      <c r="O842" s="12">
        <f t="shared" si="514"/>
        <v>287747.26</v>
      </c>
      <c r="P842" s="12">
        <f t="shared" si="514"/>
        <v>287747.26</v>
      </c>
      <c r="Q842" s="12">
        <f t="shared" si="514"/>
        <v>249155.91</v>
      </c>
      <c r="R842" s="12">
        <f t="shared" si="514"/>
        <v>249010.91</v>
      </c>
      <c r="S842" s="12">
        <f t="shared" si="514"/>
        <v>249010.91</v>
      </c>
      <c r="T842" s="12">
        <f t="shared" si="514"/>
        <v>249010.91</v>
      </c>
      <c r="U842" s="12">
        <f t="shared" si="514"/>
        <v>249010.91</v>
      </c>
      <c r="V842" s="17">
        <f t="shared" si="514"/>
        <v>187439.18999999997</v>
      </c>
      <c r="W842" s="12">
        <f t="shared" si="514"/>
        <v>238749.95</v>
      </c>
      <c r="X842" s="12">
        <f t="shared" si="514"/>
        <v>238749.95</v>
      </c>
      <c r="Y842" s="12">
        <f t="shared" si="514"/>
        <v>238749.95</v>
      </c>
      <c r="Z842" s="12">
        <f t="shared" si="514"/>
        <v>238749.95</v>
      </c>
      <c r="AA842" s="12">
        <f t="shared" si="514"/>
        <v>238749.95</v>
      </c>
      <c r="AB842" s="12">
        <f t="shared" si="514"/>
        <v>238749.98</v>
      </c>
      <c r="AC842" s="12">
        <f>SUM(AC839:AC841)</f>
        <v>2865138.47</v>
      </c>
      <c r="AD842" s="12">
        <f>SUM(AD839:AD841)</f>
        <v>238879.69999999998</v>
      </c>
      <c r="AE842" s="12">
        <f>SUM(AE839:AE841)</f>
        <v>238740.68</v>
      </c>
      <c r="AF842" s="12">
        <f t="shared" ref="AF842:AO842" si="515">SUM(AF839:AF841)</f>
        <v>238740.68</v>
      </c>
      <c r="AG842" s="12">
        <f t="shared" si="515"/>
        <v>238740.68</v>
      </c>
      <c r="AH842" s="12">
        <f t="shared" si="515"/>
        <v>238740.68</v>
      </c>
      <c r="AI842" s="12">
        <f t="shared" si="515"/>
        <v>238740.69</v>
      </c>
      <c r="AJ842" s="12">
        <f t="shared" si="515"/>
        <v>238740.68</v>
      </c>
      <c r="AK842" s="12">
        <f t="shared" si="515"/>
        <v>238740.68</v>
      </c>
      <c r="AL842" s="12">
        <f t="shared" si="515"/>
        <v>238740.68</v>
      </c>
      <c r="AM842" s="12">
        <f t="shared" si="515"/>
        <v>238740.68</v>
      </c>
      <c r="AN842" s="12">
        <f t="shared" si="515"/>
        <v>238740.68</v>
      </c>
      <c r="AO842" s="57">
        <f t="shared" si="515"/>
        <v>238740.67</v>
      </c>
      <c r="AP842" s="12">
        <f>SUM(AP839:AP841)</f>
        <v>2865027.18</v>
      </c>
    </row>
    <row r="843" spans="1:44" x14ac:dyDescent="0.3">
      <c r="C843" s="13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</row>
    <row r="844" spans="1:44" ht="15.5" x14ac:dyDescent="0.35">
      <c r="A844" s="18">
        <f>+A832+1</f>
        <v>106</v>
      </c>
      <c r="B844" s="1" t="s">
        <v>141</v>
      </c>
      <c r="C844" s="22" t="s">
        <v>267</v>
      </c>
    </row>
    <row r="845" spans="1:44" x14ac:dyDescent="0.3">
      <c r="C845" s="6" t="s">
        <v>7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f>SUM(D845:O845)</f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28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>
        <v>0</v>
      </c>
      <c r="AC845" s="10">
        <f>SUM(Q845:AB845)</f>
        <v>0</v>
      </c>
      <c r="AD845" s="10">
        <v>0</v>
      </c>
      <c r="AE845" s="10">
        <v>0</v>
      </c>
      <c r="AF845" s="10">
        <v>0</v>
      </c>
      <c r="AG845" s="10">
        <v>0</v>
      </c>
      <c r="AH845" s="10">
        <v>0</v>
      </c>
      <c r="AI845" s="10">
        <v>0</v>
      </c>
      <c r="AJ845" s="10">
        <v>0</v>
      </c>
      <c r="AK845" s="10">
        <v>0</v>
      </c>
      <c r="AL845" s="10">
        <v>0</v>
      </c>
      <c r="AM845" s="10">
        <v>0</v>
      </c>
      <c r="AN845" s="10">
        <v>0</v>
      </c>
      <c r="AO845" s="55">
        <v>0</v>
      </c>
      <c r="AP845" s="10">
        <f>SUM(AD845:AO845)</f>
        <v>0</v>
      </c>
    </row>
    <row r="846" spans="1:44" x14ac:dyDescent="0.3">
      <c r="C846" s="6" t="s">
        <v>8</v>
      </c>
      <c r="D846" s="9"/>
      <c r="E846" s="9"/>
      <c r="H846" s="9"/>
      <c r="J846" s="9"/>
      <c r="K846" s="9"/>
      <c r="L846" s="9"/>
      <c r="M846" s="9"/>
      <c r="N846" s="9"/>
      <c r="O846" s="9">
        <f>ROUND(20.83*0.31,2)</f>
        <v>6.46</v>
      </c>
      <c r="P846" s="10">
        <f>SUM(D846:O846)</f>
        <v>6.46</v>
      </c>
      <c r="Q846" s="9">
        <f>ROUND(250*0.31,2)</f>
        <v>77.5</v>
      </c>
      <c r="V846" s="15">
        <v>-7.08</v>
      </c>
      <c r="AC846" s="10">
        <f>SUM(Q846:AB846)</f>
        <v>70.42</v>
      </c>
      <c r="AD846" s="9">
        <f>ROUND(250*0.2817,2)</f>
        <v>70.430000000000007</v>
      </c>
      <c r="AE846" s="9"/>
      <c r="AF846" s="9"/>
      <c r="AG846" s="9"/>
      <c r="AH846" s="9"/>
      <c r="AI846" s="9"/>
      <c r="AJ846" s="9"/>
      <c r="AK846" s="9"/>
      <c r="AL846" s="9"/>
      <c r="AM846" s="9"/>
      <c r="AN846" s="23"/>
      <c r="AO846" s="56"/>
      <c r="AP846" s="10">
        <f>SUM(AD846:AO846)</f>
        <v>70.430000000000007</v>
      </c>
    </row>
    <row r="847" spans="1:44" ht="13.5" thickBot="1" x14ac:dyDescent="0.35">
      <c r="C847" s="6" t="s">
        <v>9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f>ROUND((35000+241752.17)*0.31,2)</f>
        <v>85793.17</v>
      </c>
      <c r="P847" s="10">
        <f>SUM(D847:O847)</f>
        <v>85793.17</v>
      </c>
      <c r="Q847" s="10">
        <f>ROUND((35000+207216.15)*0.31,2)</f>
        <v>75087.009999999995</v>
      </c>
      <c r="R847" s="10">
        <f>ROUND((35000+207216.15)*0.31,2)</f>
        <v>75087.009999999995</v>
      </c>
      <c r="S847" s="10">
        <f>ROUND((35000+207216.15)*0.31,2)</f>
        <v>75087.009999999995</v>
      </c>
      <c r="T847" s="10">
        <f>ROUND((35000+207216.15)*0.31,2)</f>
        <v>75087.009999999995</v>
      </c>
      <c r="U847" s="10">
        <f>ROUND((35000+207216.15)*0.31,2)</f>
        <v>75087.009999999995</v>
      </c>
      <c r="V847" s="28">
        <f>ROUND((35000+207216.13)*0.2817,2)-34273.6</f>
        <v>33958.68</v>
      </c>
      <c r="W847" s="10">
        <f>ROUND((35000+206195.31)*0.2817,2)</f>
        <v>67944.72</v>
      </c>
      <c r="X847" s="10">
        <f>ROUND((35000+206195.31)*0.2817,2)</f>
        <v>67944.72</v>
      </c>
      <c r="Y847" s="10">
        <f>ROUND((35000+206195.31)*0.2817,2)</f>
        <v>67944.72</v>
      </c>
      <c r="Z847" s="10">
        <f>ROUND((35000+206195.31)*0.2817,2)</f>
        <v>67944.72</v>
      </c>
      <c r="AA847" s="10">
        <f>ROUND((35000+206195.31)*0.2817,2)</f>
        <v>67944.72</v>
      </c>
      <c r="AB847" s="10">
        <f>ROUND((35000+206195.33)*0.2817,2)+0.01</f>
        <v>67944.73</v>
      </c>
      <c r="AC847" s="10">
        <f>SUM(Q847:AB847)</f>
        <v>817062.05999999982</v>
      </c>
      <c r="AD847" s="10">
        <f>ROUND((35000+206195.31)*0.2817,2)</f>
        <v>67944.72</v>
      </c>
      <c r="AE847" s="10">
        <f>ROUND((35000+206195.31)*0.2817,2)</f>
        <v>67944.72</v>
      </c>
      <c r="AF847" s="10">
        <f>ROUND((35000+206195.31)*0.2817,2)</f>
        <v>67944.72</v>
      </c>
      <c r="AG847" s="10">
        <f>ROUND((35000+206195.31)*0.2817,2)</f>
        <v>67944.72</v>
      </c>
      <c r="AH847" s="10">
        <f>ROUND((35000+206195.31)*0.2817,2)</f>
        <v>67944.72</v>
      </c>
      <c r="AI847" s="10">
        <f>ROUND((35000+206195.33)*0.2817,2)+0.01</f>
        <v>67944.73</v>
      </c>
      <c r="AJ847" s="10">
        <f>ROUND((37083.33+204445.31)*0.2817,2)</f>
        <v>68038.62</v>
      </c>
      <c r="AK847" s="10">
        <f>ROUND((37083.33+204445.31)*0.2817,2)</f>
        <v>68038.62</v>
      </c>
      <c r="AL847" s="10">
        <f>ROUND((37083.33+204445.31)*0.2817,2)</f>
        <v>68038.62</v>
      </c>
      <c r="AM847" s="10">
        <f>ROUND((37083.33+204445.31)*0.2817,2)</f>
        <v>68038.62</v>
      </c>
      <c r="AN847" s="10">
        <f>ROUND((37083.33+204445.31)*0.2817,2)</f>
        <v>68038.62</v>
      </c>
      <c r="AO847" s="55">
        <f>ROUND((37083.33+204445.33)*0.2817,2)</f>
        <v>68038.62</v>
      </c>
      <c r="AP847" s="10">
        <f>SUM(AD847:AO847)</f>
        <v>815900.04999999993</v>
      </c>
      <c r="AR847" s="33"/>
    </row>
    <row r="848" spans="1:44" ht="13.5" thickBot="1" x14ac:dyDescent="0.35">
      <c r="C848" s="11" t="s">
        <v>133</v>
      </c>
      <c r="D848" s="12">
        <f t="shared" ref="D848:AB848" si="516">SUM(D845:D847)</f>
        <v>0</v>
      </c>
      <c r="E848" s="12">
        <f t="shared" si="516"/>
        <v>0</v>
      </c>
      <c r="F848" s="12">
        <f t="shared" si="516"/>
        <v>0</v>
      </c>
      <c r="G848" s="12">
        <f t="shared" si="516"/>
        <v>0</v>
      </c>
      <c r="H848" s="12">
        <f t="shared" si="516"/>
        <v>0</v>
      </c>
      <c r="I848" s="12">
        <f t="shared" si="516"/>
        <v>0</v>
      </c>
      <c r="J848" s="12">
        <f t="shared" si="516"/>
        <v>0</v>
      </c>
      <c r="K848" s="12">
        <f t="shared" si="516"/>
        <v>0</v>
      </c>
      <c r="L848" s="12">
        <f t="shared" si="516"/>
        <v>0</v>
      </c>
      <c r="M848" s="12">
        <f t="shared" si="516"/>
        <v>0</v>
      </c>
      <c r="N848" s="12">
        <f t="shared" si="516"/>
        <v>0</v>
      </c>
      <c r="O848" s="12">
        <f t="shared" si="516"/>
        <v>85799.63</v>
      </c>
      <c r="P848" s="12">
        <f t="shared" si="516"/>
        <v>85799.63</v>
      </c>
      <c r="Q848" s="12">
        <f t="shared" si="516"/>
        <v>75164.509999999995</v>
      </c>
      <c r="R848" s="12">
        <f t="shared" si="516"/>
        <v>75087.009999999995</v>
      </c>
      <c r="S848" s="12">
        <f t="shared" si="516"/>
        <v>75087.009999999995</v>
      </c>
      <c r="T848" s="12">
        <f t="shared" si="516"/>
        <v>75087.009999999995</v>
      </c>
      <c r="U848" s="12">
        <f t="shared" si="516"/>
        <v>75087.009999999995</v>
      </c>
      <c r="V848" s="17">
        <f t="shared" si="516"/>
        <v>33951.599999999999</v>
      </c>
      <c r="W848" s="12">
        <f t="shared" si="516"/>
        <v>67944.72</v>
      </c>
      <c r="X848" s="12">
        <f t="shared" si="516"/>
        <v>67944.72</v>
      </c>
      <c r="Y848" s="12">
        <f t="shared" si="516"/>
        <v>67944.72</v>
      </c>
      <c r="Z848" s="12">
        <f t="shared" si="516"/>
        <v>67944.72</v>
      </c>
      <c r="AA848" s="12">
        <f t="shared" si="516"/>
        <v>67944.72</v>
      </c>
      <c r="AB848" s="12">
        <f t="shared" si="516"/>
        <v>67944.73</v>
      </c>
      <c r="AC848" s="12">
        <f>SUM(AC845:AC847)</f>
        <v>817132.47999999986</v>
      </c>
      <c r="AD848" s="12">
        <f>SUM(AD845:AD847)</f>
        <v>68015.149999999994</v>
      </c>
      <c r="AE848" s="12">
        <f>SUM(AE845:AE847)</f>
        <v>67944.72</v>
      </c>
      <c r="AF848" s="12">
        <f t="shared" ref="AF848:AO848" si="517">SUM(AF845:AF847)</f>
        <v>67944.72</v>
      </c>
      <c r="AG848" s="12">
        <f t="shared" si="517"/>
        <v>67944.72</v>
      </c>
      <c r="AH848" s="12">
        <f t="shared" si="517"/>
        <v>67944.72</v>
      </c>
      <c r="AI848" s="12">
        <f t="shared" si="517"/>
        <v>67944.73</v>
      </c>
      <c r="AJ848" s="12">
        <f t="shared" si="517"/>
        <v>68038.62</v>
      </c>
      <c r="AK848" s="12">
        <f t="shared" si="517"/>
        <v>68038.62</v>
      </c>
      <c r="AL848" s="12">
        <f t="shared" si="517"/>
        <v>68038.62</v>
      </c>
      <c r="AM848" s="12">
        <f t="shared" si="517"/>
        <v>68038.62</v>
      </c>
      <c r="AN848" s="12">
        <f t="shared" si="517"/>
        <v>68038.62</v>
      </c>
      <c r="AO848" s="57">
        <f t="shared" si="517"/>
        <v>68038.62</v>
      </c>
      <c r="AP848" s="12">
        <f>SUM(AP845:AP847)</f>
        <v>815970.48</v>
      </c>
    </row>
    <row r="849" spans="1:44" x14ac:dyDescent="0.3">
      <c r="C849" s="13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V849" s="31"/>
    </row>
    <row r="850" spans="1:44" ht="15.5" x14ac:dyDescent="0.35">
      <c r="A850" s="18">
        <f>A844</f>
        <v>106</v>
      </c>
      <c r="B850" s="1" t="s">
        <v>144</v>
      </c>
      <c r="C850" s="22" t="s">
        <v>268</v>
      </c>
      <c r="V850" s="31"/>
    </row>
    <row r="851" spans="1:44" x14ac:dyDescent="0.3">
      <c r="C851" s="6" t="s">
        <v>7</v>
      </c>
      <c r="D851" s="10">
        <v>0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f>SUM(D851:O851)</f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28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  <c r="AC851" s="10">
        <f>SUM(Q851:AB851)</f>
        <v>0</v>
      </c>
      <c r="AD851" s="10">
        <v>0</v>
      </c>
      <c r="AE851" s="10">
        <v>0</v>
      </c>
      <c r="AF851" s="10">
        <v>0</v>
      </c>
      <c r="AG851" s="10">
        <v>0</v>
      </c>
      <c r="AH851" s="10">
        <v>0</v>
      </c>
      <c r="AI851" s="10">
        <v>0</v>
      </c>
      <c r="AJ851" s="10">
        <v>0</v>
      </c>
      <c r="AK851" s="10">
        <v>0</v>
      </c>
      <c r="AL851" s="10">
        <v>0</v>
      </c>
      <c r="AM851" s="10">
        <v>0</v>
      </c>
      <c r="AN851" s="10">
        <v>0</v>
      </c>
      <c r="AO851" s="55">
        <v>0</v>
      </c>
      <c r="AP851" s="10">
        <f>SUM(AD851:AO851)</f>
        <v>0</v>
      </c>
    </row>
    <row r="852" spans="1:44" x14ac:dyDescent="0.3">
      <c r="C852" s="6" t="s">
        <v>8</v>
      </c>
      <c r="D852" s="9"/>
      <c r="E852" s="9"/>
      <c r="H852" s="9"/>
      <c r="J852" s="9"/>
      <c r="K852" s="9"/>
      <c r="L852" s="9"/>
      <c r="M852" s="9"/>
      <c r="N852" s="9"/>
      <c r="O852" s="9">
        <f>ROUND(20.83*0.41,2)</f>
        <v>8.5399999999999991</v>
      </c>
      <c r="P852" s="10">
        <f>SUM(D852:O852)</f>
        <v>8.5399999999999991</v>
      </c>
      <c r="Q852" s="9">
        <f>ROUND(250*0.41,2)</f>
        <v>102.5</v>
      </c>
      <c r="V852" s="15">
        <v>7.68</v>
      </c>
      <c r="AC852" s="10">
        <f>SUM(Q852:AB852)</f>
        <v>110.18</v>
      </c>
      <c r="AD852" s="9">
        <f>ROUND(250*0.4407,2)-0.01</f>
        <v>110.17</v>
      </c>
      <c r="AE852" s="9"/>
      <c r="AF852" s="9"/>
      <c r="AG852" s="9"/>
      <c r="AH852" s="9"/>
      <c r="AI852" s="9"/>
      <c r="AJ852" s="9"/>
      <c r="AK852" s="9"/>
      <c r="AL852" s="9"/>
      <c r="AM852" s="9"/>
      <c r="AN852" s="23"/>
      <c r="AO852" s="56"/>
      <c r="AP852" s="10">
        <f>SUM(AD852:AO852)</f>
        <v>110.17</v>
      </c>
    </row>
    <row r="853" spans="1:44" ht="13.5" thickBot="1" x14ac:dyDescent="0.35">
      <c r="C853" s="6" t="s">
        <v>9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f>ROUND((35000+241752.17)*0.41,2)</f>
        <v>113468.39</v>
      </c>
      <c r="P853" s="10">
        <f>SUM(D853:O853)</f>
        <v>113468.39</v>
      </c>
      <c r="Q853" s="10">
        <f>ROUND((35000+207216.15)*0.41,2)</f>
        <v>99308.62</v>
      </c>
      <c r="R853" s="10">
        <f>ROUND((35000+207216.15)*0.41,2)</f>
        <v>99308.62</v>
      </c>
      <c r="S853" s="10">
        <f>ROUND((35000+207216.15)*0.41,2)</f>
        <v>99308.62</v>
      </c>
      <c r="T853" s="10">
        <f>ROUND((35000+207216.15)*0.41,2)</f>
        <v>99308.62</v>
      </c>
      <c r="U853" s="10">
        <f>ROUND((35000+207216.15)*0.41,2)</f>
        <v>99308.62</v>
      </c>
      <c r="V853" s="28">
        <f>ROUND((35000+207216.13)*0.4407,2)+37180.2</f>
        <v>143924.84999999998</v>
      </c>
      <c r="W853" s="10">
        <f>ROUND((35000+206195.31)*0.4407,2)</f>
        <v>106294.77</v>
      </c>
      <c r="X853" s="10">
        <f>ROUND((35000+206195.31)*0.4407,2)</f>
        <v>106294.77</v>
      </c>
      <c r="Y853" s="10">
        <f>ROUND((35000+206195.31)*0.4407,2)</f>
        <v>106294.77</v>
      </c>
      <c r="Z853" s="10">
        <f>ROUND((35000+206195.31)*0.4407,2)</f>
        <v>106294.77</v>
      </c>
      <c r="AA853" s="10">
        <f>ROUND((35000+206195.31)*0.4407,2)</f>
        <v>106294.77</v>
      </c>
      <c r="AB853" s="10">
        <f>ROUND((35000+206195.33)*0.4407,2)</f>
        <v>106294.78</v>
      </c>
      <c r="AC853" s="10">
        <f>SUM(Q853:AB853)</f>
        <v>1278236.58</v>
      </c>
      <c r="AD853" s="10">
        <f>ROUND((35000+206195.31)*0.4407,2)</f>
        <v>106294.77</v>
      </c>
      <c r="AE853" s="10">
        <f>ROUND((35000+206195.31)*0.4407,2)</f>
        <v>106294.77</v>
      </c>
      <c r="AF853" s="10">
        <f>ROUND((35000+206195.31)*0.4407,2)</f>
        <v>106294.77</v>
      </c>
      <c r="AG853" s="10">
        <f>ROUND((35000+206195.31)*0.4407,2)</f>
        <v>106294.77</v>
      </c>
      <c r="AH853" s="10">
        <f>ROUND((35000+206195.31)*0.4407,2)</f>
        <v>106294.77</v>
      </c>
      <c r="AI853" s="10">
        <f>ROUND((35000+206195.33)*0.4407,2)</f>
        <v>106294.78</v>
      </c>
      <c r="AJ853" s="10">
        <f>ROUND((37083.33+204445.31)*0.4407,2)</f>
        <v>106441.67</v>
      </c>
      <c r="AK853" s="10">
        <f>ROUND((37083.33+204445.31)*0.4407,2)</f>
        <v>106441.67</v>
      </c>
      <c r="AL853" s="10">
        <f>ROUND((37083.33+204445.31)*0.4407,2)</f>
        <v>106441.67</v>
      </c>
      <c r="AM853" s="10">
        <f>ROUND((37083.33+204445.31)*0.4407,2)</f>
        <v>106441.67</v>
      </c>
      <c r="AN853" s="10">
        <f>ROUND((37083.33+204445.31)*0.4407,2)</f>
        <v>106441.67</v>
      </c>
      <c r="AO853" s="55">
        <f>ROUND((37083.33+204445.33)*0.4407,2)</f>
        <v>106441.68</v>
      </c>
      <c r="AP853" s="10">
        <f>SUM(AD853:AO853)</f>
        <v>1276418.6599999999</v>
      </c>
      <c r="AR853" s="33"/>
    </row>
    <row r="854" spans="1:44" ht="13.5" thickBot="1" x14ac:dyDescent="0.35">
      <c r="C854" s="11" t="s">
        <v>269</v>
      </c>
      <c r="D854" s="12">
        <f t="shared" ref="D854:AB854" si="518">SUM(D851:D853)</f>
        <v>0</v>
      </c>
      <c r="E854" s="12">
        <f t="shared" si="518"/>
        <v>0</v>
      </c>
      <c r="F854" s="12">
        <f t="shared" si="518"/>
        <v>0</v>
      </c>
      <c r="G854" s="12">
        <f t="shared" si="518"/>
        <v>0</v>
      </c>
      <c r="H854" s="12">
        <f t="shared" si="518"/>
        <v>0</v>
      </c>
      <c r="I854" s="12">
        <f t="shared" si="518"/>
        <v>0</v>
      </c>
      <c r="J854" s="12">
        <f t="shared" si="518"/>
        <v>0</v>
      </c>
      <c r="K854" s="12">
        <f t="shared" si="518"/>
        <v>0</v>
      </c>
      <c r="L854" s="12">
        <f t="shared" si="518"/>
        <v>0</v>
      </c>
      <c r="M854" s="12">
        <f t="shared" si="518"/>
        <v>0</v>
      </c>
      <c r="N854" s="12">
        <f t="shared" si="518"/>
        <v>0</v>
      </c>
      <c r="O854" s="12">
        <f t="shared" si="518"/>
        <v>113476.93</v>
      </c>
      <c r="P854" s="12">
        <f t="shared" si="518"/>
        <v>113476.93</v>
      </c>
      <c r="Q854" s="12">
        <f t="shared" si="518"/>
        <v>99411.12</v>
      </c>
      <c r="R854" s="12">
        <f t="shared" si="518"/>
        <v>99308.62</v>
      </c>
      <c r="S854" s="12">
        <f t="shared" si="518"/>
        <v>99308.62</v>
      </c>
      <c r="T854" s="12">
        <f t="shared" si="518"/>
        <v>99308.62</v>
      </c>
      <c r="U854" s="12">
        <f t="shared" si="518"/>
        <v>99308.62</v>
      </c>
      <c r="V854" s="17">
        <f t="shared" si="518"/>
        <v>143932.52999999997</v>
      </c>
      <c r="W854" s="12">
        <f t="shared" si="518"/>
        <v>106294.77</v>
      </c>
      <c r="X854" s="12">
        <f t="shared" si="518"/>
        <v>106294.77</v>
      </c>
      <c r="Y854" s="12">
        <f t="shared" si="518"/>
        <v>106294.77</v>
      </c>
      <c r="Z854" s="12">
        <f t="shared" si="518"/>
        <v>106294.77</v>
      </c>
      <c r="AA854" s="12">
        <f t="shared" si="518"/>
        <v>106294.77</v>
      </c>
      <c r="AB854" s="12">
        <f t="shared" si="518"/>
        <v>106294.78</v>
      </c>
      <c r="AC854" s="12">
        <f>SUM(AC851:AC853)</f>
        <v>1278346.76</v>
      </c>
      <c r="AD854" s="12">
        <f>SUM(AD851:AD853)</f>
        <v>106404.94</v>
      </c>
      <c r="AE854" s="12">
        <f>SUM(AE851:AE853)</f>
        <v>106294.77</v>
      </c>
      <c r="AF854" s="12">
        <f t="shared" ref="AF854:AO854" si="519">SUM(AF851:AF853)</f>
        <v>106294.77</v>
      </c>
      <c r="AG854" s="12">
        <f t="shared" si="519"/>
        <v>106294.77</v>
      </c>
      <c r="AH854" s="12">
        <f t="shared" si="519"/>
        <v>106294.77</v>
      </c>
      <c r="AI854" s="12">
        <f t="shared" si="519"/>
        <v>106294.78</v>
      </c>
      <c r="AJ854" s="12">
        <f t="shared" si="519"/>
        <v>106441.67</v>
      </c>
      <c r="AK854" s="12">
        <f t="shared" si="519"/>
        <v>106441.67</v>
      </c>
      <c r="AL854" s="12">
        <f t="shared" si="519"/>
        <v>106441.67</v>
      </c>
      <c r="AM854" s="12">
        <f t="shared" si="519"/>
        <v>106441.67</v>
      </c>
      <c r="AN854" s="12">
        <f t="shared" si="519"/>
        <v>106441.67</v>
      </c>
      <c r="AO854" s="57">
        <f t="shared" si="519"/>
        <v>106441.68</v>
      </c>
      <c r="AP854" s="12">
        <f>SUM(AP851:AP853)</f>
        <v>1276528.8299999998</v>
      </c>
    </row>
    <row r="855" spans="1:44" x14ac:dyDescent="0.3">
      <c r="C855" s="13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V855" s="31"/>
    </row>
    <row r="856" spans="1:44" ht="15.5" x14ac:dyDescent="0.35">
      <c r="A856" s="18">
        <f>A844</f>
        <v>106</v>
      </c>
      <c r="B856" s="1" t="s">
        <v>147</v>
      </c>
      <c r="C856" s="22" t="s">
        <v>270</v>
      </c>
      <c r="V856" s="31"/>
    </row>
    <row r="857" spans="1:44" x14ac:dyDescent="0.3">
      <c r="C857" s="6" t="s">
        <v>7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f>SUM(D857:O857)</f>
        <v>0</v>
      </c>
      <c r="Q857" s="10">
        <v>0</v>
      </c>
      <c r="R857" s="10">
        <v>0</v>
      </c>
      <c r="S857" s="10">
        <v>0</v>
      </c>
      <c r="T857" s="10">
        <v>0</v>
      </c>
      <c r="U857" s="10">
        <v>0</v>
      </c>
      <c r="V857" s="28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  <c r="AB857" s="10">
        <v>0</v>
      </c>
      <c r="AC857" s="10">
        <f>SUM(Q857:AB857)</f>
        <v>0</v>
      </c>
      <c r="AD857" s="10">
        <v>0</v>
      </c>
      <c r="AE857" s="10">
        <v>0</v>
      </c>
      <c r="AF857" s="10">
        <v>0</v>
      </c>
      <c r="AG857" s="10">
        <v>0</v>
      </c>
      <c r="AH857" s="10">
        <v>0</v>
      </c>
      <c r="AI857" s="10">
        <v>0</v>
      </c>
      <c r="AJ857" s="10">
        <v>0</v>
      </c>
      <c r="AK857" s="10">
        <v>0</v>
      </c>
      <c r="AL857" s="10">
        <v>0</v>
      </c>
      <c r="AM857" s="10">
        <v>0</v>
      </c>
      <c r="AN857" s="10">
        <v>0</v>
      </c>
      <c r="AO857" s="55">
        <v>0</v>
      </c>
      <c r="AP857" s="10">
        <f>SUM(AD857:AO857)</f>
        <v>0</v>
      </c>
    </row>
    <row r="858" spans="1:44" x14ac:dyDescent="0.3">
      <c r="C858" s="6" t="s">
        <v>8</v>
      </c>
      <c r="D858" s="9"/>
      <c r="E858" s="9"/>
      <c r="H858" s="9"/>
      <c r="J858" s="9"/>
      <c r="K858" s="9"/>
      <c r="L858" s="9"/>
      <c r="M858" s="9"/>
      <c r="N858" s="9"/>
      <c r="O858" s="9">
        <f>ROUND(20.83*0.28,2)</f>
        <v>5.83</v>
      </c>
      <c r="P858" s="10">
        <f>SUM(D858:O858)</f>
        <v>5.83</v>
      </c>
      <c r="Q858" s="9">
        <f>ROUND(250*0.28,2)</f>
        <v>70</v>
      </c>
      <c r="V858" s="15">
        <v>-0.6</v>
      </c>
      <c r="AC858" s="10">
        <f>SUM(Q858:AB858)</f>
        <v>69.400000000000006</v>
      </c>
      <c r="AD858" s="9">
        <f>ROUND(250*0.2776,2)</f>
        <v>69.400000000000006</v>
      </c>
      <c r="AE858" s="9"/>
      <c r="AF858" s="9"/>
      <c r="AG858" s="9"/>
      <c r="AH858" s="9"/>
      <c r="AI858" s="9"/>
      <c r="AJ858" s="9"/>
      <c r="AK858" s="9"/>
      <c r="AL858" s="9"/>
      <c r="AM858" s="9"/>
      <c r="AN858" s="23"/>
      <c r="AO858" s="56"/>
      <c r="AP858" s="10">
        <f>SUM(AD858:AO858)</f>
        <v>69.400000000000006</v>
      </c>
    </row>
    <row r="859" spans="1:44" ht="13.5" thickBot="1" x14ac:dyDescent="0.35">
      <c r="C859" s="6" t="s">
        <v>9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f>ROUND((35000+241752.17)*0.28,2)</f>
        <v>77490.61</v>
      </c>
      <c r="P859" s="10">
        <f>SUM(D859:O859)</f>
        <v>77490.61</v>
      </c>
      <c r="Q859" s="10">
        <f>ROUND((35000+207216.15)*0.28,2)</f>
        <v>67820.52</v>
      </c>
      <c r="R859" s="10">
        <f>ROUND((35000+207216.15)*0.28,2)</f>
        <v>67820.52</v>
      </c>
      <c r="S859" s="10">
        <f>ROUND((35000+207216.15)*0.28,2)</f>
        <v>67820.52</v>
      </c>
      <c r="T859" s="10">
        <f>ROUND((35000+207216.15)*0.28,2)</f>
        <v>67820.52</v>
      </c>
      <c r="U859" s="10">
        <f>ROUND((35000+207216.15)*0.28,2)</f>
        <v>67820.52</v>
      </c>
      <c r="V859" s="28">
        <f>ROUND((35000+207216.13)*0.2776,2)-2906.6</f>
        <v>64332.6</v>
      </c>
      <c r="W859" s="10">
        <f>ROUND((35000+206195.31)*0.2776,2)</f>
        <v>66955.820000000007</v>
      </c>
      <c r="X859" s="10">
        <f>ROUND((35000+206195.31)*0.2776,2)</f>
        <v>66955.820000000007</v>
      </c>
      <c r="Y859" s="10">
        <f>ROUND((35000+206195.31)*0.2776,2)</f>
        <v>66955.820000000007</v>
      </c>
      <c r="Z859" s="10">
        <f>ROUND((35000+206195.31)*0.2776,2)</f>
        <v>66955.820000000007</v>
      </c>
      <c r="AA859" s="10">
        <f>ROUND((35000+206195.31)*0.2776,2)</f>
        <v>66955.820000000007</v>
      </c>
      <c r="AB859" s="10">
        <f>ROUND((35000+206195.33)*0.2776,2)</f>
        <v>66955.820000000007</v>
      </c>
      <c r="AC859" s="10">
        <f>SUM(Q859:AB859)</f>
        <v>805170.12000000034</v>
      </c>
      <c r="AD859" s="10">
        <f>ROUND((35000+206195.31)*0.2776,2)</f>
        <v>66955.820000000007</v>
      </c>
      <c r="AE859" s="10">
        <f>ROUND((35000+206195.31)*0.2776,2)</f>
        <v>66955.820000000007</v>
      </c>
      <c r="AF859" s="10">
        <f>ROUND((35000+206195.31)*0.2776,2)</f>
        <v>66955.820000000007</v>
      </c>
      <c r="AG859" s="10">
        <f>ROUND((35000+206195.31)*0.2776,2)</f>
        <v>66955.820000000007</v>
      </c>
      <c r="AH859" s="10">
        <f>ROUND((35000+206195.31)*0.2776,2)</f>
        <v>66955.820000000007</v>
      </c>
      <c r="AI859" s="10">
        <f>ROUND((35000+206195.33)*0.2776,2)</f>
        <v>66955.820000000007</v>
      </c>
      <c r="AJ859" s="10">
        <f>ROUND((37083.33+204445.31)*0.2776,2)</f>
        <v>67048.350000000006</v>
      </c>
      <c r="AK859" s="10">
        <f>ROUND((37083.33+204445.31)*0.2776,2)</f>
        <v>67048.350000000006</v>
      </c>
      <c r="AL859" s="10">
        <f>ROUND((37083.33+204445.31)*0.2776,2)</f>
        <v>67048.350000000006</v>
      </c>
      <c r="AM859" s="10">
        <f>ROUND((37083.33+204445.31)*0.2776,2)</f>
        <v>67048.350000000006</v>
      </c>
      <c r="AN859" s="10">
        <f>ROUND((37083.33+204445.31)*0.2776,2)</f>
        <v>67048.350000000006</v>
      </c>
      <c r="AO859" s="55">
        <f>ROUND((37083.33+204445.33)*0.2776,2)</f>
        <v>67048.36</v>
      </c>
      <c r="AP859" s="10">
        <f>SUM(AD859:AO859)</f>
        <v>804025.02999999991</v>
      </c>
      <c r="AR859" s="33"/>
    </row>
    <row r="860" spans="1:44" ht="13.5" thickBot="1" x14ac:dyDescent="0.35">
      <c r="C860" s="11" t="s">
        <v>271</v>
      </c>
      <c r="D860" s="12">
        <f t="shared" ref="D860:AB860" si="520">SUM(D857:D859)</f>
        <v>0</v>
      </c>
      <c r="E860" s="12">
        <f t="shared" si="520"/>
        <v>0</v>
      </c>
      <c r="F860" s="12">
        <f t="shared" si="520"/>
        <v>0</v>
      </c>
      <c r="G860" s="12">
        <f t="shared" si="520"/>
        <v>0</v>
      </c>
      <c r="H860" s="12">
        <f t="shared" si="520"/>
        <v>0</v>
      </c>
      <c r="I860" s="12">
        <f t="shared" si="520"/>
        <v>0</v>
      </c>
      <c r="J860" s="12">
        <f t="shared" si="520"/>
        <v>0</v>
      </c>
      <c r="K860" s="12">
        <f t="shared" si="520"/>
        <v>0</v>
      </c>
      <c r="L860" s="12">
        <f t="shared" si="520"/>
        <v>0</v>
      </c>
      <c r="M860" s="12">
        <f t="shared" si="520"/>
        <v>0</v>
      </c>
      <c r="N860" s="12">
        <f t="shared" si="520"/>
        <v>0</v>
      </c>
      <c r="O860" s="12">
        <f t="shared" si="520"/>
        <v>77496.44</v>
      </c>
      <c r="P860" s="12">
        <f t="shared" si="520"/>
        <v>77496.44</v>
      </c>
      <c r="Q860" s="12">
        <f t="shared" si="520"/>
        <v>67890.52</v>
      </c>
      <c r="R860" s="12">
        <f t="shared" si="520"/>
        <v>67820.52</v>
      </c>
      <c r="S860" s="12">
        <f t="shared" si="520"/>
        <v>67820.52</v>
      </c>
      <c r="T860" s="12">
        <f t="shared" si="520"/>
        <v>67820.52</v>
      </c>
      <c r="U860" s="12">
        <f t="shared" si="520"/>
        <v>67820.52</v>
      </c>
      <c r="V860" s="17">
        <f t="shared" si="520"/>
        <v>64332</v>
      </c>
      <c r="W860" s="12">
        <f t="shared" si="520"/>
        <v>66955.820000000007</v>
      </c>
      <c r="X860" s="12">
        <f t="shared" si="520"/>
        <v>66955.820000000007</v>
      </c>
      <c r="Y860" s="12">
        <f t="shared" si="520"/>
        <v>66955.820000000007</v>
      </c>
      <c r="Z860" s="12">
        <f t="shared" si="520"/>
        <v>66955.820000000007</v>
      </c>
      <c r="AA860" s="12">
        <f t="shared" si="520"/>
        <v>66955.820000000007</v>
      </c>
      <c r="AB860" s="12">
        <f t="shared" si="520"/>
        <v>66955.820000000007</v>
      </c>
      <c r="AC860" s="12">
        <f>SUM(AC857:AC859)</f>
        <v>805239.52000000037</v>
      </c>
      <c r="AD860" s="12">
        <f>SUM(AD857:AD859)</f>
        <v>67025.22</v>
      </c>
      <c r="AE860" s="12">
        <f>SUM(AE857:AE859)</f>
        <v>66955.820000000007</v>
      </c>
      <c r="AF860" s="12">
        <f t="shared" ref="AF860:AO860" si="521">SUM(AF857:AF859)</f>
        <v>66955.820000000007</v>
      </c>
      <c r="AG860" s="12">
        <f t="shared" si="521"/>
        <v>66955.820000000007</v>
      </c>
      <c r="AH860" s="12">
        <f t="shared" si="521"/>
        <v>66955.820000000007</v>
      </c>
      <c r="AI860" s="12">
        <f t="shared" si="521"/>
        <v>66955.820000000007</v>
      </c>
      <c r="AJ860" s="12">
        <f t="shared" si="521"/>
        <v>67048.350000000006</v>
      </c>
      <c r="AK860" s="12">
        <f t="shared" si="521"/>
        <v>67048.350000000006</v>
      </c>
      <c r="AL860" s="12">
        <f t="shared" si="521"/>
        <v>67048.350000000006</v>
      </c>
      <c r="AM860" s="12">
        <f t="shared" si="521"/>
        <v>67048.350000000006</v>
      </c>
      <c r="AN860" s="12">
        <f t="shared" si="521"/>
        <v>67048.350000000006</v>
      </c>
      <c r="AO860" s="57">
        <f t="shared" si="521"/>
        <v>67048.36</v>
      </c>
      <c r="AP860" s="12">
        <f>SUM(AP857:AP859)</f>
        <v>804094.42999999993</v>
      </c>
    </row>
    <row r="861" spans="1:44" x14ac:dyDescent="0.3">
      <c r="C861" s="13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58"/>
      <c r="AP861" s="30"/>
    </row>
    <row r="862" spans="1:44" ht="15.5" x14ac:dyDescent="0.35">
      <c r="A862" s="18">
        <f>A856+1</f>
        <v>107</v>
      </c>
      <c r="C862" s="22" t="s">
        <v>272</v>
      </c>
    </row>
    <row r="863" spans="1:44" x14ac:dyDescent="0.3">
      <c r="C863" s="6" t="s">
        <v>7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0</v>
      </c>
      <c r="AC863" s="10">
        <f>SUM(Q863:AB863)</f>
        <v>0</v>
      </c>
      <c r="AD863" s="10">
        <v>0</v>
      </c>
      <c r="AE863" s="10">
        <v>0</v>
      </c>
      <c r="AF863" s="10">
        <v>0</v>
      </c>
      <c r="AG863" s="10">
        <v>0</v>
      </c>
      <c r="AH863" s="10">
        <v>0</v>
      </c>
      <c r="AI863" s="10">
        <v>0</v>
      </c>
      <c r="AJ863" s="10">
        <v>0</v>
      </c>
      <c r="AK863" s="10">
        <v>0</v>
      </c>
      <c r="AL863" s="10">
        <v>0</v>
      </c>
      <c r="AM863" s="10">
        <v>0</v>
      </c>
      <c r="AN863" s="10">
        <v>0</v>
      </c>
      <c r="AO863" s="55">
        <v>0</v>
      </c>
      <c r="AP863" s="10">
        <f>SUM(AD863:AO863)</f>
        <v>0</v>
      </c>
    </row>
    <row r="864" spans="1:44" x14ac:dyDescent="0.3">
      <c r="C864" s="6" t="s">
        <v>8</v>
      </c>
      <c r="Q864" s="9">
        <v>250</v>
      </c>
      <c r="AC864" s="10">
        <f>SUM(Q864:AB864)</f>
        <v>250</v>
      </c>
      <c r="AD864" s="9">
        <v>250</v>
      </c>
      <c r="AE864" s="9"/>
      <c r="AF864" s="9"/>
      <c r="AG864" s="9"/>
      <c r="AH864" s="9"/>
      <c r="AI864" s="9"/>
      <c r="AJ864" s="9"/>
      <c r="AK864" s="9"/>
      <c r="AL864" s="9"/>
      <c r="AM864" s="9"/>
      <c r="AN864" s="23"/>
      <c r="AO864" s="56"/>
      <c r="AP864" s="10">
        <f>SUM(AD864:AO864)</f>
        <v>250</v>
      </c>
    </row>
    <row r="865" spans="1:44" ht="13.5" thickBot="1" x14ac:dyDescent="0.35">
      <c r="C865" s="6" t="s">
        <v>9</v>
      </c>
      <c r="Q865" s="10">
        <v>18480</v>
      </c>
      <c r="R865" s="10">
        <v>18480</v>
      </c>
      <c r="S865" s="10">
        <v>18480</v>
      </c>
      <c r="T865" s="10">
        <v>18480</v>
      </c>
      <c r="U865" s="10">
        <v>18480</v>
      </c>
      <c r="V865" s="10">
        <v>18480</v>
      </c>
      <c r="W865" s="10">
        <v>18480</v>
      </c>
      <c r="X865" s="10">
        <v>18480</v>
      </c>
      <c r="Y865" s="10">
        <v>18480</v>
      </c>
      <c r="Z865" s="10">
        <v>18480</v>
      </c>
      <c r="AA865" s="10">
        <v>18480</v>
      </c>
      <c r="AB865" s="10">
        <f>14087.04+18480</f>
        <v>32567.040000000001</v>
      </c>
      <c r="AC865" s="10">
        <f>SUM(Q865:AB865)</f>
        <v>235847.04000000001</v>
      </c>
      <c r="AD865" s="10">
        <f>14128.36+18438.68</f>
        <v>32567.040000000001</v>
      </c>
      <c r="AE865" s="10">
        <f>14169.8+18397.23</f>
        <v>32567.03</v>
      </c>
      <c r="AF865" s="10">
        <f>14211.37+18355.67</f>
        <v>32567.040000000001</v>
      </c>
      <c r="AG865" s="10">
        <f>14253.05+18313.98</f>
        <v>32567.03</v>
      </c>
      <c r="AH865" s="10">
        <f>14294.86+18272.17</f>
        <v>32567.03</v>
      </c>
      <c r="AI865" s="10">
        <f>14336.8+18230.24</f>
        <v>32567.040000000001</v>
      </c>
      <c r="AJ865" s="10">
        <f>14378.85+18188.19</f>
        <v>32567.040000000001</v>
      </c>
      <c r="AK865" s="10">
        <f>14421.03+18146.01</f>
        <v>32567.040000000001</v>
      </c>
      <c r="AL865" s="10">
        <f>14463.34+18103.71</f>
        <v>32567.05</v>
      </c>
      <c r="AM865" s="10">
        <f>14505.76+18061.28</f>
        <v>32567.040000000001</v>
      </c>
      <c r="AN865" s="10">
        <f>14548.31+18018.73</f>
        <v>32567.040000000001</v>
      </c>
      <c r="AO865" s="55">
        <f>14590.98+17976.06</f>
        <v>32567.040000000001</v>
      </c>
      <c r="AP865" s="10">
        <f>SUM(AD865:AO865)</f>
        <v>390804.45999999996</v>
      </c>
      <c r="AR865" s="33"/>
    </row>
    <row r="866" spans="1:44" ht="13.5" thickBot="1" x14ac:dyDescent="0.35">
      <c r="C866" s="11" t="s">
        <v>273</v>
      </c>
      <c r="Q866" s="12">
        <f t="shared" ref="Q866:AB866" si="522">SUM(Q863:Q865)</f>
        <v>18730</v>
      </c>
      <c r="R866" s="12">
        <f t="shared" si="522"/>
        <v>18480</v>
      </c>
      <c r="S866" s="12">
        <f t="shared" si="522"/>
        <v>18480</v>
      </c>
      <c r="T866" s="12">
        <f t="shared" si="522"/>
        <v>18480</v>
      </c>
      <c r="U866" s="12">
        <f t="shared" si="522"/>
        <v>18480</v>
      </c>
      <c r="V866" s="12">
        <f t="shared" si="522"/>
        <v>18480</v>
      </c>
      <c r="W866" s="12">
        <f t="shared" si="522"/>
        <v>18480</v>
      </c>
      <c r="X866" s="12">
        <f t="shared" si="522"/>
        <v>18480</v>
      </c>
      <c r="Y866" s="12">
        <f t="shared" si="522"/>
        <v>18480</v>
      </c>
      <c r="Z866" s="12">
        <f t="shared" si="522"/>
        <v>18480</v>
      </c>
      <c r="AA866" s="12">
        <f t="shared" si="522"/>
        <v>18480</v>
      </c>
      <c r="AB866" s="12">
        <f t="shared" si="522"/>
        <v>32567.040000000001</v>
      </c>
      <c r="AC866" s="12">
        <f>SUM(AC863:AC865)</f>
        <v>236097.04</v>
      </c>
      <c r="AD866" s="12">
        <f>SUM(AD863:AD865)</f>
        <v>32817.040000000001</v>
      </c>
      <c r="AE866" s="12">
        <f>SUM(AE863:AE865)</f>
        <v>32567.03</v>
      </c>
      <c r="AF866" s="12">
        <f t="shared" ref="AF866:AO866" si="523">SUM(AF863:AF865)</f>
        <v>32567.040000000001</v>
      </c>
      <c r="AG866" s="12">
        <f t="shared" si="523"/>
        <v>32567.03</v>
      </c>
      <c r="AH866" s="12">
        <f t="shared" si="523"/>
        <v>32567.03</v>
      </c>
      <c r="AI866" s="12">
        <f t="shared" si="523"/>
        <v>32567.040000000001</v>
      </c>
      <c r="AJ866" s="12">
        <f t="shared" si="523"/>
        <v>32567.040000000001</v>
      </c>
      <c r="AK866" s="12">
        <f t="shared" si="523"/>
        <v>32567.040000000001</v>
      </c>
      <c r="AL866" s="12">
        <f t="shared" si="523"/>
        <v>32567.05</v>
      </c>
      <c r="AM866" s="12">
        <f t="shared" si="523"/>
        <v>32567.040000000001</v>
      </c>
      <c r="AN866" s="12">
        <f t="shared" si="523"/>
        <v>32567.040000000001</v>
      </c>
      <c r="AO866" s="57">
        <f t="shared" si="523"/>
        <v>32567.040000000001</v>
      </c>
      <c r="AP866" s="12">
        <f>SUM(AP863:AP865)</f>
        <v>391054.45999999996</v>
      </c>
    </row>
    <row r="867" spans="1:44" x14ac:dyDescent="0.3">
      <c r="C867" s="13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</row>
    <row r="868" spans="1:44" ht="15.5" x14ac:dyDescent="0.35">
      <c r="A868" s="18">
        <f>A862+1</f>
        <v>108</v>
      </c>
      <c r="C868" s="22" t="s">
        <v>274</v>
      </c>
    </row>
    <row r="869" spans="1:44" x14ac:dyDescent="0.3">
      <c r="C869" s="6" t="s">
        <v>7</v>
      </c>
      <c r="Q869" s="10">
        <v>0</v>
      </c>
      <c r="R869" s="10">
        <v>0</v>
      </c>
      <c r="S869" s="10">
        <v>1052.5</v>
      </c>
      <c r="T869" s="10">
        <v>1052.5</v>
      </c>
      <c r="U869" s="10">
        <v>1052.5</v>
      </c>
      <c r="V869" s="10">
        <v>1052.5</v>
      </c>
      <c r="W869" s="10">
        <v>1052.5</v>
      </c>
      <c r="X869" s="10">
        <v>1052.5</v>
      </c>
      <c r="Y869" s="10">
        <v>1052.5</v>
      </c>
      <c r="Z869" s="10">
        <v>1052.5</v>
      </c>
      <c r="AA869" s="10">
        <v>1052.5</v>
      </c>
      <c r="AB869" s="10">
        <v>1052.5</v>
      </c>
      <c r="AC869" s="10">
        <f>SUM(Q869:AB869)</f>
        <v>10525</v>
      </c>
      <c r="AD869" s="10">
        <v>877.08</v>
      </c>
      <c r="AE869" s="10">
        <v>877.08</v>
      </c>
      <c r="AF869" s="10">
        <v>877.08</v>
      </c>
      <c r="AG869" s="10">
        <v>877.08</v>
      </c>
      <c r="AH869" s="10">
        <v>877.08</v>
      </c>
      <c r="AI869" s="10">
        <v>877.08</v>
      </c>
      <c r="AJ869" s="10">
        <v>877.08</v>
      </c>
      <c r="AK869" s="10">
        <v>877.08</v>
      </c>
      <c r="AL869" s="10">
        <v>877.08</v>
      </c>
      <c r="AM869" s="10">
        <v>877.08</v>
      </c>
      <c r="AN869" s="10">
        <v>877.08</v>
      </c>
      <c r="AO869" s="55">
        <v>877.08</v>
      </c>
      <c r="AP869" s="10">
        <f>SUM(AD869:AO869)</f>
        <v>10524.960000000001</v>
      </c>
    </row>
    <row r="870" spans="1:44" x14ac:dyDescent="0.3">
      <c r="C870" s="6" t="s">
        <v>8</v>
      </c>
      <c r="Q870" s="9"/>
      <c r="S870" s="9">
        <v>208.33</v>
      </c>
      <c r="AC870" s="10">
        <f>SUM(Q870:AB870)</f>
        <v>208.33</v>
      </c>
      <c r="AD870" s="9">
        <v>250</v>
      </c>
      <c r="AE870" s="9"/>
      <c r="AF870" s="9"/>
      <c r="AG870" s="9"/>
      <c r="AH870" s="9"/>
      <c r="AI870" s="9"/>
      <c r="AJ870" s="9"/>
      <c r="AK870" s="9"/>
      <c r="AL870" s="9"/>
      <c r="AM870" s="9"/>
      <c r="AN870" s="23"/>
      <c r="AO870" s="56"/>
      <c r="AP870" s="10">
        <f>SUM(AD870:AO870)</f>
        <v>250</v>
      </c>
    </row>
    <row r="871" spans="1:44" ht="13.5" thickBot="1" x14ac:dyDescent="0.35">
      <c r="C871" s="6" t="s">
        <v>9</v>
      </c>
      <c r="Q871" s="10">
        <v>0</v>
      </c>
      <c r="R871" s="10">
        <v>0</v>
      </c>
      <c r="S871" s="10">
        <v>61804.52</v>
      </c>
      <c r="T871" s="10">
        <v>61804.52</v>
      </c>
      <c r="U871" s="10">
        <f>18750+40307.29</f>
        <v>59057.29</v>
      </c>
      <c r="V871" s="10">
        <f t="shared" ref="V871:AG871" si="524">18750+40307.29</f>
        <v>59057.29</v>
      </c>
      <c r="W871" s="10">
        <f t="shared" si="524"/>
        <v>59057.29</v>
      </c>
      <c r="X871" s="10">
        <f t="shared" si="524"/>
        <v>59057.29</v>
      </c>
      <c r="Y871" s="10">
        <f t="shared" si="524"/>
        <v>59057.29</v>
      </c>
      <c r="Z871" s="10">
        <f t="shared" si="524"/>
        <v>59057.29</v>
      </c>
      <c r="AA871" s="10">
        <f t="shared" si="524"/>
        <v>59057.29</v>
      </c>
      <c r="AB871" s="10">
        <f t="shared" si="524"/>
        <v>59057.29</v>
      </c>
      <c r="AC871" s="10">
        <f>SUM(Q871:AB871)</f>
        <v>596067.36</v>
      </c>
      <c r="AD871" s="10">
        <f t="shared" si="524"/>
        <v>59057.29</v>
      </c>
      <c r="AE871" s="10">
        <f t="shared" si="524"/>
        <v>59057.29</v>
      </c>
      <c r="AF871" s="10">
        <f t="shared" si="524"/>
        <v>59057.29</v>
      </c>
      <c r="AG871" s="10">
        <f t="shared" si="524"/>
        <v>59057.29</v>
      </c>
      <c r="AH871" s="10">
        <f>19583.33+39369.79</f>
        <v>58953.120000000003</v>
      </c>
      <c r="AI871" s="10">
        <f t="shared" ref="AI871:AO871" si="525">19583.33+39369.79</f>
        <v>58953.120000000003</v>
      </c>
      <c r="AJ871" s="10">
        <f t="shared" si="525"/>
        <v>58953.120000000003</v>
      </c>
      <c r="AK871" s="10">
        <f t="shared" si="525"/>
        <v>58953.120000000003</v>
      </c>
      <c r="AL871" s="10">
        <f t="shared" si="525"/>
        <v>58953.120000000003</v>
      </c>
      <c r="AM871" s="10">
        <f t="shared" si="525"/>
        <v>58953.120000000003</v>
      </c>
      <c r="AN871" s="10">
        <f t="shared" si="525"/>
        <v>58953.120000000003</v>
      </c>
      <c r="AO871" s="55">
        <f t="shared" si="525"/>
        <v>58953.120000000003</v>
      </c>
      <c r="AP871" s="10">
        <f>SUM(AD871:AO871)</f>
        <v>707854.12</v>
      </c>
      <c r="AR871" s="33"/>
    </row>
    <row r="872" spans="1:44" ht="13.5" thickBot="1" x14ac:dyDescent="0.35">
      <c r="C872" s="11" t="s">
        <v>93</v>
      </c>
      <c r="Q872" s="12">
        <f t="shared" ref="Q872:AB872" si="526">SUM(Q869:Q871)</f>
        <v>0</v>
      </c>
      <c r="R872" s="12">
        <f t="shared" si="526"/>
        <v>0</v>
      </c>
      <c r="S872" s="12">
        <f t="shared" si="526"/>
        <v>63065.35</v>
      </c>
      <c r="T872" s="12">
        <f t="shared" si="526"/>
        <v>62857.02</v>
      </c>
      <c r="U872" s="12">
        <f t="shared" si="526"/>
        <v>60109.79</v>
      </c>
      <c r="V872" s="12">
        <f t="shared" si="526"/>
        <v>60109.79</v>
      </c>
      <c r="W872" s="12">
        <f t="shared" si="526"/>
        <v>60109.79</v>
      </c>
      <c r="X872" s="12">
        <f t="shared" si="526"/>
        <v>60109.79</v>
      </c>
      <c r="Y872" s="12">
        <f t="shared" si="526"/>
        <v>60109.79</v>
      </c>
      <c r="Z872" s="12">
        <f t="shared" si="526"/>
        <v>60109.79</v>
      </c>
      <c r="AA872" s="12">
        <f t="shared" si="526"/>
        <v>60109.79</v>
      </c>
      <c r="AB872" s="12">
        <f t="shared" si="526"/>
        <v>60109.79</v>
      </c>
      <c r="AC872" s="12">
        <f>SUM(AC869:AC871)</f>
        <v>606800.68999999994</v>
      </c>
      <c r="AD872" s="12">
        <f>SUM(AD869:AD871)</f>
        <v>60184.37</v>
      </c>
      <c r="AE872" s="12">
        <f>SUM(AE869:AE871)</f>
        <v>59934.37</v>
      </c>
      <c r="AF872" s="12">
        <f t="shared" ref="AF872:AO872" si="527">SUM(AF869:AF871)</f>
        <v>59934.37</v>
      </c>
      <c r="AG872" s="12">
        <f t="shared" si="527"/>
        <v>59934.37</v>
      </c>
      <c r="AH872" s="12">
        <f t="shared" si="527"/>
        <v>59830.200000000004</v>
      </c>
      <c r="AI872" s="12">
        <f t="shared" si="527"/>
        <v>59830.200000000004</v>
      </c>
      <c r="AJ872" s="12">
        <f t="shared" si="527"/>
        <v>59830.200000000004</v>
      </c>
      <c r="AK872" s="12">
        <f t="shared" si="527"/>
        <v>59830.200000000004</v>
      </c>
      <c r="AL872" s="12">
        <f t="shared" si="527"/>
        <v>59830.200000000004</v>
      </c>
      <c r="AM872" s="12">
        <f t="shared" si="527"/>
        <v>59830.200000000004</v>
      </c>
      <c r="AN872" s="12">
        <f t="shared" si="527"/>
        <v>59830.200000000004</v>
      </c>
      <c r="AO872" s="57">
        <f t="shared" si="527"/>
        <v>59830.200000000004</v>
      </c>
      <c r="AP872" s="12">
        <f>SUM(AP869:AP871)</f>
        <v>718629.08</v>
      </c>
    </row>
    <row r="873" spans="1:44" x14ac:dyDescent="0.3">
      <c r="C873" s="13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</row>
    <row r="874" spans="1:44" ht="15.5" x14ac:dyDescent="0.35">
      <c r="A874" s="1">
        <f>A868+1</f>
        <v>109</v>
      </c>
      <c r="B874" s="26" t="s">
        <v>141</v>
      </c>
      <c r="C874" s="22" t="s">
        <v>275</v>
      </c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</row>
    <row r="875" spans="1:44" x14ac:dyDescent="0.3">
      <c r="C875" s="6" t="s">
        <v>7</v>
      </c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  <c r="AB875" s="10">
        <v>0</v>
      </c>
      <c r="AC875" s="10">
        <f>SUM(Q875:AB875)</f>
        <v>0</v>
      </c>
      <c r="AD875" s="10">
        <v>0</v>
      </c>
      <c r="AE875" s="10">
        <v>0</v>
      </c>
      <c r="AF875" s="10">
        <v>0</v>
      </c>
      <c r="AG875" s="10">
        <v>0</v>
      </c>
      <c r="AH875" s="10">
        <v>0</v>
      </c>
      <c r="AI875" s="10">
        <v>0</v>
      </c>
      <c r="AJ875" s="10">
        <v>0</v>
      </c>
      <c r="AK875" s="10">
        <v>0</v>
      </c>
      <c r="AL875" s="10">
        <v>0</v>
      </c>
      <c r="AM875" s="10">
        <v>0</v>
      </c>
      <c r="AN875" s="10">
        <v>0</v>
      </c>
      <c r="AO875" s="55">
        <v>0</v>
      </c>
      <c r="AP875" s="10">
        <f>SUM(AD875:AO875)</f>
        <v>0</v>
      </c>
    </row>
    <row r="876" spans="1:44" x14ac:dyDescent="0.3">
      <c r="C876" s="6" t="s">
        <v>8</v>
      </c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9"/>
      <c r="S876" s="9">
        <v>61.94</v>
      </c>
      <c r="AC876" s="10">
        <f>SUM(Q876:AB876)</f>
        <v>61.94</v>
      </c>
      <c r="AD876" s="9">
        <v>74.33</v>
      </c>
      <c r="AE876" s="9"/>
      <c r="AF876" s="9"/>
      <c r="AG876" s="9"/>
      <c r="AH876" s="9"/>
      <c r="AI876" s="9"/>
      <c r="AJ876" s="9"/>
      <c r="AK876" s="9"/>
      <c r="AL876" s="9"/>
      <c r="AM876" s="9"/>
      <c r="AN876" s="23"/>
      <c r="AO876" s="56"/>
      <c r="AP876" s="10">
        <f>SUM(AD876:AO876)</f>
        <v>74.33</v>
      </c>
    </row>
    <row r="877" spans="1:44" ht="13.5" thickBot="1" x14ac:dyDescent="0.35">
      <c r="C877" s="6" t="s">
        <v>9</v>
      </c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10">
        <v>0</v>
      </c>
      <c r="R877" s="10">
        <v>0</v>
      </c>
      <c r="S877" s="10">
        <v>19008.32</v>
      </c>
      <c r="T877" s="10">
        <v>19008.32</v>
      </c>
      <c r="U877" s="10">
        <v>19008.32</v>
      </c>
      <c r="V877" s="10">
        <v>19008.32</v>
      </c>
      <c r="W877" s="10">
        <v>19008.32</v>
      </c>
      <c r="X877" s="10">
        <v>19008.32</v>
      </c>
      <c r="Y877" s="10">
        <v>19008.32</v>
      </c>
      <c r="Z877" s="10">
        <v>19008.32</v>
      </c>
      <c r="AA877" s="10">
        <v>19008.32</v>
      </c>
      <c r="AB877" s="10">
        <v>19008.330000000002</v>
      </c>
      <c r="AC877" s="10">
        <f>SUM(Q877:AB877)</f>
        <v>190083.21000000002</v>
      </c>
      <c r="AD877" s="10">
        <v>19008.32</v>
      </c>
      <c r="AE877" s="10">
        <v>19008.32</v>
      </c>
      <c r="AF877" s="10">
        <v>19008.32</v>
      </c>
      <c r="AG877" s="10">
        <v>19008.32</v>
      </c>
      <c r="AH877" s="10">
        <v>19008.32</v>
      </c>
      <c r="AI877" s="10">
        <v>19008.32</v>
      </c>
      <c r="AJ877" s="10">
        <v>19008.32</v>
      </c>
      <c r="AK877" s="10">
        <v>19008.32</v>
      </c>
      <c r="AL877" s="10">
        <v>19008.32</v>
      </c>
      <c r="AM877" s="10">
        <v>19008.32</v>
      </c>
      <c r="AN877" s="10">
        <v>19008.32</v>
      </c>
      <c r="AO877" s="55">
        <v>19008.330000000002</v>
      </c>
      <c r="AP877" s="10">
        <f>SUM(AD877:AO877)</f>
        <v>228099.85000000003</v>
      </c>
      <c r="AR877" s="33"/>
    </row>
    <row r="878" spans="1:44" ht="13.5" thickBot="1" x14ac:dyDescent="0.35">
      <c r="C878" s="11" t="s">
        <v>143</v>
      </c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12">
        <f t="shared" ref="Q878:AB878" si="528">SUM(Q875:Q877)</f>
        <v>0</v>
      </c>
      <c r="R878" s="12">
        <f t="shared" si="528"/>
        <v>0</v>
      </c>
      <c r="S878" s="12">
        <f t="shared" si="528"/>
        <v>19070.259999999998</v>
      </c>
      <c r="T878" s="12">
        <f t="shared" si="528"/>
        <v>19008.32</v>
      </c>
      <c r="U878" s="12">
        <f t="shared" si="528"/>
        <v>19008.32</v>
      </c>
      <c r="V878" s="12">
        <f t="shared" si="528"/>
        <v>19008.32</v>
      </c>
      <c r="W878" s="12">
        <f t="shared" si="528"/>
        <v>19008.32</v>
      </c>
      <c r="X878" s="12">
        <f t="shared" si="528"/>
        <v>19008.32</v>
      </c>
      <c r="Y878" s="12">
        <f t="shared" si="528"/>
        <v>19008.32</v>
      </c>
      <c r="Z878" s="12">
        <f t="shared" si="528"/>
        <v>19008.32</v>
      </c>
      <c r="AA878" s="12">
        <f t="shared" si="528"/>
        <v>19008.32</v>
      </c>
      <c r="AB878" s="12">
        <f t="shared" si="528"/>
        <v>19008.330000000002</v>
      </c>
      <c r="AC878" s="12">
        <f>SUM(AC875:AC877)</f>
        <v>190145.15000000002</v>
      </c>
      <c r="AD878" s="12">
        <f>SUM(AD875:AD877)</f>
        <v>19082.650000000001</v>
      </c>
      <c r="AE878" s="12">
        <f>SUM(AE875:AE877)</f>
        <v>19008.32</v>
      </c>
      <c r="AF878" s="12">
        <f t="shared" ref="AF878:AO878" si="529">SUM(AF875:AF877)</f>
        <v>19008.32</v>
      </c>
      <c r="AG878" s="12">
        <f t="shared" si="529"/>
        <v>19008.32</v>
      </c>
      <c r="AH878" s="12">
        <f t="shared" si="529"/>
        <v>19008.32</v>
      </c>
      <c r="AI878" s="12">
        <f t="shared" si="529"/>
        <v>19008.32</v>
      </c>
      <c r="AJ878" s="12">
        <f t="shared" si="529"/>
        <v>19008.32</v>
      </c>
      <c r="AK878" s="12">
        <f t="shared" si="529"/>
        <v>19008.32</v>
      </c>
      <c r="AL878" s="12">
        <f t="shared" si="529"/>
        <v>19008.32</v>
      </c>
      <c r="AM878" s="12">
        <f t="shared" si="529"/>
        <v>19008.32</v>
      </c>
      <c r="AN878" s="12">
        <f t="shared" si="529"/>
        <v>19008.32</v>
      </c>
      <c r="AO878" s="57">
        <f t="shared" si="529"/>
        <v>19008.330000000002</v>
      </c>
      <c r="AP878" s="12">
        <f>SUM(AP875:AP877)</f>
        <v>228174.18000000002</v>
      </c>
    </row>
    <row r="879" spans="1:44" x14ac:dyDescent="0.3">
      <c r="C879" s="13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</row>
    <row r="880" spans="1:44" ht="15.5" x14ac:dyDescent="0.35">
      <c r="A880" s="1">
        <f>A874</f>
        <v>109</v>
      </c>
      <c r="B880" s="26" t="s">
        <v>144</v>
      </c>
      <c r="C880" s="22" t="s">
        <v>276</v>
      </c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</row>
    <row r="881" spans="1:44" x14ac:dyDescent="0.3">
      <c r="C881" s="6" t="s">
        <v>7</v>
      </c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0</v>
      </c>
      <c r="Y881" s="10">
        <v>0</v>
      </c>
      <c r="Z881" s="10">
        <v>0</v>
      </c>
      <c r="AA881" s="10">
        <v>0</v>
      </c>
      <c r="AB881" s="10">
        <v>0</v>
      </c>
      <c r="AC881" s="10">
        <f>SUM(Q881:AB881)</f>
        <v>0</v>
      </c>
      <c r="AD881" s="10">
        <v>0</v>
      </c>
      <c r="AE881" s="10">
        <v>0</v>
      </c>
      <c r="AF881" s="10">
        <v>0</v>
      </c>
      <c r="AG881" s="10">
        <v>0</v>
      </c>
      <c r="AH881" s="10">
        <v>0</v>
      </c>
      <c r="AI881" s="10">
        <v>0</v>
      </c>
      <c r="AJ881" s="10">
        <v>0</v>
      </c>
      <c r="AK881" s="10">
        <v>0</v>
      </c>
      <c r="AL881" s="10">
        <v>0</v>
      </c>
      <c r="AM881" s="10">
        <v>0</v>
      </c>
      <c r="AN881" s="10">
        <v>0</v>
      </c>
      <c r="AO881" s="55">
        <v>0</v>
      </c>
      <c r="AP881" s="10">
        <f>SUM(AD881:AO881)</f>
        <v>0</v>
      </c>
    </row>
    <row r="882" spans="1:44" x14ac:dyDescent="0.3">
      <c r="C882" s="6" t="s">
        <v>8</v>
      </c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9"/>
      <c r="S882" s="9">
        <v>64.75</v>
      </c>
      <c r="AC882" s="10">
        <f>SUM(Q882:AB882)</f>
        <v>64.75</v>
      </c>
      <c r="AD882" s="9">
        <v>77.7</v>
      </c>
      <c r="AE882" s="9"/>
      <c r="AF882" s="9"/>
      <c r="AG882" s="9"/>
      <c r="AH882" s="9"/>
      <c r="AI882" s="9"/>
      <c r="AJ882" s="9"/>
      <c r="AK882" s="9"/>
      <c r="AL882" s="9"/>
      <c r="AM882" s="9"/>
      <c r="AN882" s="23"/>
      <c r="AO882" s="56"/>
      <c r="AP882" s="10">
        <f>SUM(AD882:AO882)</f>
        <v>77.7</v>
      </c>
    </row>
    <row r="883" spans="1:44" ht="13.5" thickBot="1" x14ac:dyDescent="0.35">
      <c r="C883" s="6" t="s">
        <v>9</v>
      </c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10">
        <v>0</v>
      </c>
      <c r="R883" s="10">
        <v>0</v>
      </c>
      <c r="S883" s="10">
        <v>19871.46</v>
      </c>
      <c r="T883" s="10">
        <v>19871.46</v>
      </c>
      <c r="U883" s="10">
        <v>19871.46</v>
      </c>
      <c r="V883" s="10">
        <v>19871.46</v>
      </c>
      <c r="W883" s="10">
        <v>19871.46</v>
      </c>
      <c r="X883" s="10">
        <v>19871.47</v>
      </c>
      <c r="Y883" s="10">
        <v>19871.47</v>
      </c>
      <c r="Z883" s="10">
        <v>19871.47</v>
      </c>
      <c r="AA883" s="10">
        <v>19871.47</v>
      </c>
      <c r="AB883" s="10">
        <v>19871.46</v>
      </c>
      <c r="AC883" s="10">
        <f>SUM(Q883:AB883)</f>
        <v>198714.63999999998</v>
      </c>
      <c r="AD883" s="10">
        <v>19871.46</v>
      </c>
      <c r="AE883" s="10">
        <v>19871.46</v>
      </c>
      <c r="AF883" s="10">
        <v>19871.46</v>
      </c>
      <c r="AG883" s="10">
        <v>19871.46</v>
      </c>
      <c r="AH883" s="10">
        <v>19871.46</v>
      </c>
      <c r="AI883" s="10">
        <v>19871.46</v>
      </c>
      <c r="AJ883" s="10">
        <v>19871.47</v>
      </c>
      <c r="AK883" s="10">
        <v>19871.47</v>
      </c>
      <c r="AL883" s="10">
        <v>19871.47</v>
      </c>
      <c r="AM883" s="10">
        <v>19871.47</v>
      </c>
      <c r="AN883" s="10">
        <v>19871.47</v>
      </c>
      <c r="AO883" s="55">
        <v>19871.46</v>
      </c>
      <c r="AP883" s="10">
        <f>SUM(AD883:AO883)</f>
        <v>238457.56999999998</v>
      </c>
      <c r="AR883" s="33"/>
    </row>
    <row r="884" spans="1:44" ht="13.5" thickBot="1" x14ac:dyDescent="0.35">
      <c r="C884" s="11" t="s">
        <v>146</v>
      </c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12">
        <f t="shared" ref="Q884:AB884" si="530">SUM(Q881:Q883)</f>
        <v>0</v>
      </c>
      <c r="R884" s="12">
        <f t="shared" si="530"/>
        <v>0</v>
      </c>
      <c r="S884" s="12">
        <f t="shared" si="530"/>
        <v>19936.21</v>
      </c>
      <c r="T884" s="12">
        <f t="shared" si="530"/>
        <v>19871.46</v>
      </c>
      <c r="U884" s="12">
        <f t="shared" si="530"/>
        <v>19871.46</v>
      </c>
      <c r="V884" s="12">
        <f t="shared" si="530"/>
        <v>19871.46</v>
      </c>
      <c r="W884" s="12">
        <f t="shared" si="530"/>
        <v>19871.46</v>
      </c>
      <c r="X884" s="12">
        <f t="shared" si="530"/>
        <v>19871.47</v>
      </c>
      <c r="Y884" s="12">
        <f t="shared" si="530"/>
        <v>19871.47</v>
      </c>
      <c r="Z884" s="12">
        <f t="shared" si="530"/>
        <v>19871.47</v>
      </c>
      <c r="AA884" s="12">
        <f t="shared" si="530"/>
        <v>19871.47</v>
      </c>
      <c r="AB884" s="12">
        <f t="shared" si="530"/>
        <v>19871.46</v>
      </c>
      <c r="AC884" s="12">
        <f>SUM(AC881:AC883)</f>
        <v>198779.38999999998</v>
      </c>
      <c r="AD884" s="12">
        <f>SUM(AD881:AD883)</f>
        <v>19949.16</v>
      </c>
      <c r="AE884" s="12">
        <f>SUM(AE881:AE883)</f>
        <v>19871.46</v>
      </c>
      <c r="AF884" s="12">
        <f t="shared" ref="AF884:AO884" si="531">SUM(AF881:AF883)</f>
        <v>19871.46</v>
      </c>
      <c r="AG884" s="12">
        <f t="shared" si="531"/>
        <v>19871.46</v>
      </c>
      <c r="AH884" s="12">
        <f t="shared" si="531"/>
        <v>19871.46</v>
      </c>
      <c r="AI884" s="12">
        <f t="shared" si="531"/>
        <v>19871.46</v>
      </c>
      <c r="AJ884" s="12">
        <f t="shared" si="531"/>
        <v>19871.47</v>
      </c>
      <c r="AK884" s="12">
        <f t="shared" si="531"/>
        <v>19871.47</v>
      </c>
      <c r="AL884" s="12">
        <f t="shared" si="531"/>
        <v>19871.47</v>
      </c>
      <c r="AM884" s="12">
        <f t="shared" si="531"/>
        <v>19871.47</v>
      </c>
      <c r="AN884" s="12">
        <f t="shared" si="531"/>
        <v>19871.47</v>
      </c>
      <c r="AO884" s="57">
        <f t="shared" si="531"/>
        <v>19871.46</v>
      </c>
      <c r="AP884" s="12">
        <f>SUM(AP881:AP883)</f>
        <v>238535.27</v>
      </c>
    </row>
    <row r="885" spans="1:44" x14ac:dyDescent="0.3">
      <c r="C885" s="13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</row>
    <row r="886" spans="1:44" ht="15.5" x14ac:dyDescent="0.35">
      <c r="A886" s="1">
        <f>A874</f>
        <v>109</v>
      </c>
      <c r="B886" s="26" t="s">
        <v>147</v>
      </c>
      <c r="C886" s="22" t="s">
        <v>277</v>
      </c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</row>
    <row r="887" spans="1:44" x14ac:dyDescent="0.3">
      <c r="C887" s="6" t="s">
        <v>7</v>
      </c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  <c r="AC887" s="10">
        <f>SUM(Q887:AB887)</f>
        <v>0</v>
      </c>
      <c r="AD887" s="10">
        <v>0</v>
      </c>
      <c r="AE887" s="10">
        <v>0</v>
      </c>
      <c r="AF887" s="10">
        <v>0</v>
      </c>
      <c r="AG887" s="10">
        <v>0</v>
      </c>
      <c r="AH887" s="10">
        <v>0</v>
      </c>
      <c r="AI887" s="10">
        <v>0</v>
      </c>
      <c r="AJ887" s="10">
        <v>0</v>
      </c>
      <c r="AK887" s="10">
        <v>0</v>
      </c>
      <c r="AL887" s="10">
        <v>0</v>
      </c>
      <c r="AM887" s="10">
        <v>0</v>
      </c>
      <c r="AN887" s="10">
        <v>0</v>
      </c>
      <c r="AO887" s="55">
        <v>0</v>
      </c>
      <c r="AP887" s="10">
        <f>SUM(AD887:AO887)</f>
        <v>0</v>
      </c>
    </row>
    <row r="888" spans="1:44" x14ac:dyDescent="0.3">
      <c r="C888" s="6" t="s">
        <v>8</v>
      </c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9"/>
      <c r="S888" s="9">
        <v>81.64</v>
      </c>
      <c r="AC888" s="10">
        <f>SUM(Q888:AB888)</f>
        <v>81.64</v>
      </c>
      <c r="AD888" s="9">
        <v>97.97</v>
      </c>
      <c r="AE888" s="9"/>
      <c r="AF888" s="9"/>
      <c r="AG888" s="9"/>
      <c r="AH888" s="9"/>
      <c r="AI888" s="9"/>
      <c r="AJ888" s="9"/>
      <c r="AK888" s="9"/>
      <c r="AL888" s="9"/>
      <c r="AM888" s="9"/>
      <c r="AN888" s="23"/>
      <c r="AO888" s="56"/>
      <c r="AP888" s="10">
        <f>SUM(AD888:AO888)</f>
        <v>97.97</v>
      </c>
    </row>
    <row r="889" spans="1:44" ht="13.5" thickBot="1" x14ac:dyDescent="0.35">
      <c r="C889" s="6" t="s">
        <v>9</v>
      </c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10">
        <v>0</v>
      </c>
      <c r="R889" s="10">
        <v>0</v>
      </c>
      <c r="S889" s="10">
        <v>25056.720000000001</v>
      </c>
      <c r="T889" s="10">
        <v>25056.720000000001</v>
      </c>
      <c r="U889" s="10">
        <v>25056.720000000001</v>
      </c>
      <c r="V889" s="10">
        <v>25056.720000000001</v>
      </c>
      <c r="W889" s="10">
        <v>25056.720000000001</v>
      </c>
      <c r="X889" s="10">
        <v>25056.71</v>
      </c>
      <c r="Y889" s="10">
        <v>25056.71</v>
      </c>
      <c r="Z889" s="10">
        <v>25056.71</v>
      </c>
      <c r="AA889" s="10">
        <v>25056.71</v>
      </c>
      <c r="AB889" s="10">
        <v>25056.71</v>
      </c>
      <c r="AC889" s="10">
        <f>SUM(Q889:AB889)</f>
        <v>250567.14999999997</v>
      </c>
      <c r="AD889" s="10">
        <v>25056.720000000001</v>
      </c>
      <c r="AE889" s="10">
        <v>25056.720000000001</v>
      </c>
      <c r="AF889" s="10">
        <v>25056.720000000001</v>
      </c>
      <c r="AG889" s="10">
        <v>25056.720000000001</v>
      </c>
      <c r="AH889" s="10">
        <v>25056.720000000001</v>
      </c>
      <c r="AI889" s="10">
        <v>25056.720000000001</v>
      </c>
      <c r="AJ889" s="10">
        <v>25056.71</v>
      </c>
      <c r="AK889" s="10">
        <v>25056.71</v>
      </c>
      <c r="AL889" s="10">
        <v>25056.71</v>
      </c>
      <c r="AM889" s="10">
        <v>25056.71</v>
      </c>
      <c r="AN889" s="10">
        <v>25056.71</v>
      </c>
      <c r="AO889" s="55">
        <v>25056.71</v>
      </c>
      <c r="AP889" s="10">
        <f>SUM(AD889:AO889)</f>
        <v>300680.58</v>
      </c>
      <c r="AR889" s="33"/>
    </row>
    <row r="890" spans="1:44" ht="13.5" thickBot="1" x14ac:dyDescent="0.35">
      <c r="C890" s="11" t="s">
        <v>149</v>
      </c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12">
        <f t="shared" ref="Q890:AB890" si="532">SUM(Q887:Q889)</f>
        <v>0</v>
      </c>
      <c r="R890" s="12">
        <f t="shared" si="532"/>
        <v>0</v>
      </c>
      <c r="S890" s="12">
        <f t="shared" si="532"/>
        <v>25138.36</v>
      </c>
      <c r="T890" s="12">
        <f t="shared" si="532"/>
        <v>25056.720000000001</v>
      </c>
      <c r="U890" s="12">
        <f t="shared" si="532"/>
        <v>25056.720000000001</v>
      </c>
      <c r="V890" s="12">
        <f t="shared" si="532"/>
        <v>25056.720000000001</v>
      </c>
      <c r="W890" s="12">
        <f t="shared" si="532"/>
        <v>25056.720000000001</v>
      </c>
      <c r="X890" s="12">
        <f t="shared" si="532"/>
        <v>25056.71</v>
      </c>
      <c r="Y890" s="12">
        <f t="shared" si="532"/>
        <v>25056.71</v>
      </c>
      <c r="Z890" s="12">
        <f t="shared" si="532"/>
        <v>25056.71</v>
      </c>
      <c r="AA890" s="12">
        <f t="shared" si="532"/>
        <v>25056.71</v>
      </c>
      <c r="AB890" s="12">
        <f t="shared" si="532"/>
        <v>25056.71</v>
      </c>
      <c r="AC890" s="12">
        <f>SUM(AC887:AC889)</f>
        <v>250648.78999999998</v>
      </c>
      <c r="AD890" s="12">
        <f>SUM(AD887:AD889)</f>
        <v>25154.690000000002</v>
      </c>
      <c r="AE890" s="12">
        <f>SUM(AE887:AE889)</f>
        <v>25056.720000000001</v>
      </c>
      <c r="AF890" s="12">
        <f t="shared" ref="AF890:AO890" si="533">SUM(AF887:AF889)</f>
        <v>25056.720000000001</v>
      </c>
      <c r="AG890" s="12">
        <f t="shared" si="533"/>
        <v>25056.720000000001</v>
      </c>
      <c r="AH890" s="12">
        <f t="shared" si="533"/>
        <v>25056.720000000001</v>
      </c>
      <c r="AI890" s="12">
        <f t="shared" si="533"/>
        <v>25056.720000000001</v>
      </c>
      <c r="AJ890" s="12">
        <f t="shared" si="533"/>
        <v>25056.71</v>
      </c>
      <c r="AK890" s="12">
        <f t="shared" si="533"/>
        <v>25056.71</v>
      </c>
      <c r="AL890" s="12">
        <f t="shared" si="533"/>
        <v>25056.71</v>
      </c>
      <c r="AM890" s="12">
        <f t="shared" si="533"/>
        <v>25056.71</v>
      </c>
      <c r="AN890" s="12">
        <f t="shared" si="533"/>
        <v>25056.71</v>
      </c>
      <c r="AO890" s="57">
        <f t="shared" si="533"/>
        <v>25056.71</v>
      </c>
      <c r="AP890" s="12">
        <f>SUM(AP887:AP889)</f>
        <v>300778.55</v>
      </c>
    </row>
    <row r="891" spans="1:44" x14ac:dyDescent="0.3">
      <c r="C891" s="13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</row>
    <row r="892" spans="1:44" ht="15.5" x14ac:dyDescent="0.35">
      <c r="A892" s="1">
        <f>A874+1</f>
        <v>110</v>
      </c>
      <c r="B892" s="26"/>
      <c r="C892" s="22" t="s">
        <v>278</v>
      </c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</row>
    <row r="893" spans="1:44" x14ac:dyDescent="0.3">
      <c r="C893" s="6" t="s">
        <v>7</v>
      </c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10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  <c r="AC893" s="10">
        <f>SUM(Q893:AB893)</f>
        <v>0</v>
      </c>
      <c r="AD893" s="10">
        <v>0</v>
      </c>
      <c r="AE893" s="10">
        <v>0</v>
      </c>
      <c r="AF893" s="10">
        <v>0</v>
      </c>
      <c r="AG893" s="10">
        <v>0</v>
      </c>
      <c r="AH893" s="10">
        <v>0</v>
      </c>
      <c r="AI893" s="10">
        <v>0</v>
      </c>
      <c r="AJ893" s="10">
        <v>0</v>
      </c>
      <c r="AK893" s="10">
        <v>0</v>
      </c>
      <c r="AL893" s="10">
        <v>0</v>
      </c>
      <c r="AM893" s="10">
        <v>0</v>
      </c>
      <c r="AN893" s="10">
        <v>0</v>
      </c>
      <c r="AO893" s="55">
        <v>0</v>
      </c>
      <c r="AP893" s="10">
        <f>SUM(AD893:AO893)</f>
        <v>0</v>
      </c>
    </row>
    <row r="894" spans="1:44" x14ac:dyDescent="0.3">
      <c r="C894" s="6" t="s">
        <v>8</v>
      </c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9"/>
      <c r="S894" s="9">
        <v>208.33</v>
      </c>
      <c r="AC894" s="10">
        <f>SUM(Q894:AB894)</f>
        <v>208.33</v>
      </c>
      <c r="AD894" s="9">
        <v>250</v>
      </c>
      <c r="AE894" s="9"/>
      <c r="AF894" s="9"/>
      <c r="AG894" s="9"/>
      <c r="AH894" s="9"/>
      <c r="AI894" s="9"/>
      <c r="AJ894" s="9"/>
      <c r="AK894" s="9"/>
      <c r="AL894" s="9"/>
      <c r="AM894" s="9"/>
      <c r="AN894" s="23"/>
      <c r="AO894" s="56"/>
      <c r="AP894" s="10">
        <f>SUM(AD894:AO894)</f>
        <v>250</v>
      </c>
    </row>
    <row r="895" spans="1:44" ht="13.5" thickBot="1" x14ac:dyDescent="0.35">
      <c r="C895" s="6" t="s">
        <v>9</v>
      </c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10">
        <v>0</v>
      </c>
      <c r="R895" s="10">
        <v>0</v>
      </c>
      <c r="S895" s="10">
        <v>21313</v>
      </c>
      <c r="T895" s="10">
        <v>21313</v>
      </c>
      <c r="U895" s="10">
        <v>21313</v>
      </c>
      <c r="V895" s="10">
        <v>21313</v>
      </c>
      <c r="W895" s="10">
        <v>21313</v>
      </c>
      <c r="X895" s="10">
        <v>21313</v>
      </c>
      <c r="Y895" s="10">
        <v>21313</v>
      </c>
      <c r="Z895" s="10">
        <v>21313</v>
      </c>
      <c r="AA895" s="10">
        <v>21313</v>
      </c>
      <c r="AB895" s="10">
        <v>21313</v>
      </c>
      <c r="AC895" s="10">
        <f>SUM(Q895:AB895)</f>
        <v>213130</v>
      </c>
      <c r="AD895" s="10">
        <v>21313</v>
      </c>
      <c r="AE895" s="10">
        <v>21313</v>
      </c>
      <c r="AF895" s="10">
        <v>21313</v>
      </c>
      <c r="AG895" s="10">
        <v>21313</v>
      </c>
      <c r="AH895" s="10">
        <v>21313</v>
      </c>
      <c r="AI895" s="10">
        <v>21313</v>
      </c>
      <c r="AJ895" s="10">
        <v>21313</v>
      </c>
      <c r="AK895" s="10">
        <v>21313</v>
      </c>
      <c r="AL895" s="10">
        <v>21313</v>
      </c>
      <c r="AM895" s="10">
        <v>21313</v>
      </c>
      <c r="AN895" s="10">
        <v>21313</v>
      </c>
      <c r="AO895" s="55">
        <v>21313</v>
      </c>
      <c r="AP895" s="10">
        <f>SUM(AD895:AO895)</f>
        <v>255756</v>
      </c>
      <c r="AR895" s="33"/>
    </row>
    <row r="896" spans="1:44" ht="13.5" thickBot="1" x14ac:dyDescent="0.35">
      <c r="C896" s="11" t="s">
        <v>151</v>
      </c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12">
        <f t="shared" ref="Q896:AB896" si="534">SUM(Q893:Q895)</f>
        <v>0</v>
      </c>
      <c r="R896" s="12">
        <f t="shared" si="534"/>
        <v>0</v>
      </c>
      <c r="S896" s="12">
        <f t="shared" si="534"/>
        <v>21521.33</v>
      </c>
      <c r="T896" s="12">
        <f t="shared" si="534"/>
        <v>21313</v>
      </c>
      <c r="U896" s="12">
        <f t="shared" si="534"/>
        <v>21313</v>
      </c>
      <c r="V896" s="12">
        <f t="shared" si="534"/>
        <v>21313</v>
      </c>
      <c r="W896" s="12">
        <f t="shared" si="534"/>
        <v>21313</v>
      </c>
      <c r="X896" s="12">
        <f t="shared" si="534"/>
        <v>21313</v>
      </c>
      <c r="Y896" s="12">
        <f t="shared" si="534"/>
        <v>21313</v>
      </c>
      <c r="Z896" s="12">
        <f t="shared" si="534"/>
        <v>21313</v>
      </c>
      <c r="AA896" s="12">
        <f t="shared" si="534"/>
        <v>21313</v>
      </c>
      <c r="AB896" s="12">
        <f t="shared" si="534"/>
        <v>21313</v>
      </c>
      <c r="AC896" s="12">
        <f>SUM(AC893:AC895)</f>
        <v>213338.33</v>
      </c>
      <c r="AD896" s="12">
        <f>SUM(AD893:AD895)</f>
        <v>21563</v>
      </c>
      <c r="AE896" s="12">
        <f>SUM(AE893:AE895)</f>
        <v>21313</v>
      </c>
      <c r="AF896" s="12">
        <f t="shared" ref="AF896:AO896" si="535">SUM(AF893:AF895)</f>
        <v>21313</v>
      </c>
      <c r="AG896" s="12">
        <f t="shared" si="535"/>
        <v>21313</v>
      </c>
      <c r="AH896" s="12">
        <f t="shared" si="535"/>
        <v>21313</v>
      </c>
      <c r="AI896" s="12">
        <f t="shared" si="535"/>
        <v>21313</v>
      </c>
      <c r="AJ896" s="12">
        <f t="shared" si="535"/>
        <v>21313</v>
      </c>
      <c r="AK896" s="12">
        <f t="shared" si="535"/>
        <v>21313</v>
      </c>
      <c r="AL896" s="12">
        <f t="shared" si="535"/>
        <v>21313</v>
      </c>
      <c r="AM896" s="12">
        <f t="shared" si="535"/>
        <v>21313</v>
      </c>
      <c r="AN896" s="12">
        <f t="shared" si="535"/>
        <v>21313</v>
      </c>
      <c r="AO896" s="57">
        <f t="shared" si="535"/>
        <v>21313</v>
      </c>
      <c r="AP896" s="12">
        <f>SUM(AP893:AP895)</f>
        <v>256006</v>
      </c>
    </row>
    <row r="897" spans="1:44" x14ac:dyDescent="0.3">
      <c r="C897" s="13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</row>
    <row r="898" spans="1:44" ht="15.5" x14ac:dyDescent="0.35">
      <c r="A898" s="18">
        <f>A892+1</f>
        <v>111</v>
      </c>
      <c r="C898" s="22" t="s">
        <v>279</v>
      </c>
    </row>
    <row r="899" spans="1:44" x14ac:dyDescent="0.3">
      <c r="C899" s="6" t="s">
        <v>7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  <c r="Z899" s="10">
        <v>0</v>
      </c>
      <c r="AA899" s="10">
        <v>0</v>
      </c>
      <c r="AB899" s="10">
        <v>0</v>
      </c>
      <c r="AC899" s="10">
        <f>SUM(Q899:AB899)</f>
        <v>0</v>
      </c>
      <c r="AD899" s="10">
        <v>0</v>
      </c>
      <c r="AE899" s="10">
        <v>0</v>
      </c>
      <c r="AF899" s="10">
        <v>0</v>
      </c>
      <c r="AG899" s="10">
        <v>0</v>
      </c>
      <c r="AH899" s="10">
        <v>0</v>
      </c>
      <c r="AI899" s="10">
        <v>0</v>
      </c>
      <c r="AJ899" s="10">
        <v>0</v>
      </c>
      <c r="AK899" s="10">
        <v>0</v>
      </c>
      <c r="AL899" s="10">
        <v>0</v>
      </c>
      <c r="AM899" s="10">
        <v>0</v>
      </c>
      <c r="AN899" s="10">
        <v>0</v>
      </c>
      <c r="AO899" s="55">
        <v>0</v>
      </c>
      <c r="AP899" s="10">
        <f>SUM(AD899:AO899)</f>
        <v>0</v>
      </c>
    </row>
    <row r="900" spans="1:44" x14ac:dyDescent="0.3">
      <c r="C900" s="6" t="s">
        <v>8</v>
      </c>
      <c r="Q900" s="9"/>
      <c r="S900" s="9">
        <v>208.33</v>
      </c>
      <c r="AC900" s="10">
        <f>SUM(Q900:AB900)</f>
        <v>208.33</v>
      </c>
      <c r="AD900" s="9">
        <v>250</v>
      </c>
      <c r="AE900" s="9"/>
      <c r="AF900" s="9"/>
      <c r="AG900" s="9"/>
      <c r="AH900" s="9"/>
      <c r="AI900" s="9"/>
      <c r="AJ900" s="9"/>
      <c r="AK900" s="9"/>
      <c r="AL900" s="9"/>
      <c r="AM900" s="9"/>
      <c r="AN900" s="23"/>
      <c r="AO900" s="56"/>
      <c r="AP900" s="10">
        <f>SUM(AD900:AO900)</f>
        <v>250</v>
      </c>
    </row>
    <row r="901" spans="1:44" ht="13.5" thickBot="1" x14ac:dyDescent="0.35">
      <c r="C901" s="6" t="s">
        <v>9</v>
      </c>
      <c r="Q901" s="10">
        <v>0</v>
      </c>
      <c r="R901" s="10">
        <v>0</v>
      </c>
      <c r="S901" s="10">
        <v>21313</v>
      </c>
      <c r="T901" s="10">
        <v>21313</v>
      </c>
      <c r="U901" s="10">
        <v>21313</v>
      </c>
      <c r="V901" s="10">
        <v>21313</v>
      </c>
      <c r="W901" s="10">
        <v>21313</v>
      </c>
      <c r="X901" s="10">
        <v>21313</v>
      </c>
      <c r="Y901" s="10">
        <v>21313</v>
      </c>
      <c r="Z901" s="10">
        <v>21313</v>
      </c>
      <c r="AA901" s="10">
        <v>21313</v>
      </c>
      <c r="AB901" s="10">
        <v>21313</v>
      </c>
      <c r="AC901" s="10">
        <f>SUM(Q901:AB901)</f>
        <v>213130</v>
      </c>
      <c r="AD901" s="10">
        <v>21313</v>
      </c>
      <c r="AE901" s="10">
        <v>21313</v>
      </c>
      <c r="AF901" s="10">
        <v>21313</v>
      </c>
      <c r="AG901" s="10">
        <v>21313</v>
      </c>
      <c r="AH901" s="10">
        <v>21313</v>
      </c>
      <c r="AI901" s="10">
        <v>21313</v>
      </c>
      <c r="AJ901" s="10">
        <v>21313</v>
      </c>
      <c r="AK901" s="10">
        <v>21313</v>
      </c>
      <c r="AL901" s="10">
        <v>21313</v>
      </c>
      <c r="AM901" s="10">
        <v>21313</v>
      </c>
      <c r="AN901" s="10">
        <v>21313</v>
      </c>
      <c r="AO901" s="55">
        <v>21313</v>
      </c>
      <c r="AP901" s="10">
        <f>SUM(AD901:AO901)</f>
        <v>255756</v>
      </c>
      <c r="AR901" s="33"/>
    </row>
    <row r="902" spans="1:44" ht="13.5" thickBot="1" x14ac:dyDescent="0.35">
      <c r="C902" s="11" t="s">
        <v>153</v>
      </c>
      <c r="Q902" s="12">
        <f t="shared" ref="Q902:AB902" si="536">SUM(Q899:Q901)</f>
        <v>0</v>
      </c>
      <c r="R902" s="12">
        <f t="shared" si="536"/>
        <v>0</v>
      </c>
      <c r="S902" s="12">
        <f t="shared" si="536"/>
        <v>21521.33</v>
      </c>
      <c r="T902" s="12">
        <f t="shared" si="536"/>
        <v>21313</v>
      </c>
      <c r="U902" s="12">
        <f t="shared" si="536"/>
        <v>21313</v>
      </c>
      <c r="V902" s="12">
        <f t="shared" si="536"/>
        <v>21313</v>
      </c>
      <c r="W902" s="12">
        <f t="shared" si="536"/>
        <v>21313</v>
      </c>
      <c r="X902" s="12">
        <f t="shared" si="536"/>
        <v>21313</v>
      </c>
      <c r="Y902" s="12">
        <f t="shared" si="536"/>
        <v>21313</v>
      </c>
      <c r="Z902" s="12">
        <f t="shared" si="536"/>
        <v>21313</v>
      </c>
      <c r="AA902" s="12">
        <f t="shared" si="536"/>
        <v>21313</v>
      </c>
      <c r="AB902" s="12">
        <f t="shared" si="536"/>
        <v>21313</v>
      </c>
      <c r="AC902" s="12">
        <f>SUM(AC899:AC901)</f>
        <v>213338.33</v>
      </c>
      <c r="AD902" s="12">
        <f>SUM(AD899:AD901)</f>
        <v>21563</v>
      </c>
      <c r="AE902" s="12">
        <f>SUM(AE899:AE901)</f>
        <v>21313</v>
      </c>
      <c r="AF902" s="12">
        <f t="shared" ref="AF902:AO902" si="537">SUM(AF899:AF901)</f>
        <v>21313</v>
      </c>
      <c r="AG902" s="12">
        <f t="shared" si="537"/>
        <v>21313</v>
      </c>
      <c r="AH902" s="12">
        <f t="shared" si="537"/>
        <v>21313</v>
      </c>
      <c r="AI902" s="12">
        <f t="shared" si="537"/>
        <v>21313</v>
      </c>
      <c r="AJ902" s="12">
        <f t="shared" si="537"/>
        <v>21313</v>
      </c>
      <c r="AK902" s="12">
        <f t="shared" si="537"/>
        <v>21313</v>
      </c>
      <c r="AL902" s="12">
        <f t="shared" si="537"/>
        <v>21313</v>
      </c>
      <c r="AM902" s="12">
        <f t="shared" si="537"/>
        <v>21313</v>
      </c>
      <c r="AN902" s="12">
        <f t="shared" si="537"/>
        <v>21313</v>
      </c>
      <c r="AO902" s="57">
        <f t="shared" si="537"/>
        <v>21313</v>
      </c>
      <c r="AP902" s="12">
        <f>SUM(AP899:AP901)</f>
        <v>256006</v>
      </c>
    </row>
    <row r="903" spans="1:44" x14ac:dyDescent="0.3">
      <c r="C903" s="13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</row>
    <row r="904" spans="1:44" ht="15.5" x14ac:dyDescent="0.35">
      <c r="A904" s="18">
        <f>A898+1</f>
        <v>112</v>
      </c>
      <c r="C904" s="22" t="s">
        <v>280</v>
      </c>
    </row>
    <row r="905" spans="1:44" x14ac:dyDescent="0.3">
      <c r="C905" s="6" t="s">
        <v>7</v>
      </c>
      <c r="Q905" s="10">
        <v>0</v>
      </c>
      <c r="R905" s="10">
        <v>0</v>
      </c>
      <c r="S905" s="10">
        <v>0</v>
      </c>
      <c r="T905" s="10">
        <v>0</v>
      </c>
      <c r="U905" s="10">
        <v>0</v>
      </c>
      <c r="V905" s="10">
        <v>0</v>
      </c>
      <c r="W905" s="10">
        <v>0</v>
      </c>
      <c r="X905" s="10">
        <v>0</v>
      </c>
      <c r="Y905" s="10">
        <v>0</v>
      </c>
      <c r="Z905" s="10">
        <v>0</v>
      </c>
      <c r="AA905" s="10">
        <v>0</v>
      </c>
      <c r="AB905" s="10">
        <v>0</v>
      </c>
      <c r="AC905" s="10">
        <f>SUM(Q905:AB905)</f>
        <v>0</v>
      </c>
      <c r="AD905" s="10">
        <v>0</v>
      </c>
      <c r="AE905" s="10">
        <v>0</v>
      </c>
      <c r="AF905" s="10">
        <v>0</v>
      </c>
      <c r="AG905" s="10">
        <v>0</v>
      </c>
      <c r="AH905" s="10">
        <v>0</v>
      </c>
      <c r="AI905" s="10">
        <v>0</v>
      </c>
      <c r="AJ905" s="10">
        <v>0</v>
      </c>
      <c r="AK905" s="10">
        <v>0</v>
      </c>
      <c r="AL905" s="10">
        <v>0</v>
      </c>
      <c r="AM905" s="10">
        <v>0</v>
      </c>
      <c r="AN905" s="10">
        <v>0</v>
      </c>
      <c r="AO905" s="55">
        <v>0</v>
      </c>
      <c r="AP905" s="10">
        <f>SUM(AD905:AO905)</f>
        <v>0</v>
      </c>
    </row>
    <row r="906" spans="1:44" x14ac:dyDescent="0.3">
      <c r="C906" s="6" t="s">
        <v>8</v>
      </c>
      <c r="Q906" s="9"/>
      <c r="S906" s="9"/>
      <c r="V906" s="9">
        <v>145.83000000000001</v>
      </c>
      <c r="AC906" s="10">
        <f>SUM(Q906:AB906)</f>
        <v>145.83000000000001</v>
      </c>
      <c r="AD906" s="9">
        <v>250</v>
      </c>
      <c r="AE906" s="9"/>
      <c r="AF906" s="9"/>
      <c r="AG906" s="9"/>
      <c r="AH906" s="9"/>
      <c r="AI906" s="9"/>
      <c r="AJ906" s="9"/>
      <c r="AK906" s="9"/>
      <c r="AL906" s="9"/>
      <c r="AM906" s="9"/>
      <c r="AN906" s="23"/>
      <c r="AO906" s="56"/>
      <c r="AP906" s="10">
        <f>SUM(AD906:AO906)</f>
        <v>250</v>
      </c>
    </row>
    <row r="907" spans="1:44" ht="13.5" thickBot="1" x14ac:dyDescent="0.35">
      <c r="C907" s="6" t="s">
        <v>9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0</v>
      </c>
      <c r="AC907" s="10">
        <f>SUM(Q907:AB907)</f>
        <v>0</v>
      </c>
      <c r="AD907" s="10">
        <f>8181.82+69302.75</f>
        <v>77484.570000000007</v>
      </c>
      <c r="AE907" s="10">
        <f>8181.82+69302.75</f>
        <v>77484.570000000007</v>
      </c>
      <c r="AF907" s="10">
        <f>8181.82+69302.75</f>
        <v>77484.570000000007</v>
      </c>
      <c r="AG907" s="10">
        <f>8181.82+69302.75</f>
        <v>77484.570000000007</v>
      </c>
      <c r="AH907" s="10">
        <f>8181.82+69302.75</f>
        <v>77484.570000000007</v>
      </c>
      <c r="AI907" s="10">
        <f t="shared" ref="AI907:AN907" si="538">8181.82+57752.29</f>
        <v>65934.11</v>
      </c>
      <c r="AJ907" s="10">
        <f t="shared" si="538"/>
        <v>65934.11</v>
      </c>
      <c r="AK907" s="10">
        <f t="shared" si="538"/>
        <v>65934.11</v>
      </c>
      <c r="AL907" s="10">
        <f t="shared" si="538"/>
        <v>65934.11</v>
      </c>
      <c r="AM907" s="10">
        <f t="shared" si="538"/>
        <v>65934.11</v>
      </c>
      <c r="AN907" s="10">
        <f t="shared" si="538"/>
        <v>65934.11</v>
      </c>
      <c r="AO907" s="55">
        <f>7916.67+57238.54</f>
        <v>65155.21</v>
      </c>
      <c r="AP907" s="10">
        <f>SUM(AD907:AO907)</f>
        <v>848182.72</v>
      </c>
      <c r="AR907" s="33"/>
    </row>
    <row r="908" spans="1:44" ht="13.5" thickBot="1" x14ac:dyDescent="0.35">
      <c r="C908" s="11" t="s">
        <v>281</v>
      </c>
      <c r="Q908" s="12">
        <f t="shared" ref="Q908:AB908" si="539">SUM(Q905:Q907)</f>
        <v>0</v>
      </c>
      <c r="R908" s="12">
        <f t="shared" si="539"/>
        <v>0</v>
      </c>
      <c r="S908" s="12">
        <f t="shared" si="539"/>
        <v>0</v>
      </c>
      <c r="T908" s="12">
        <f t="shared" si="539"/>
        <v>0</v>
      </c>
      <c r="U908" s="12">
        <f t="shared" si="539"/>
        <v>0</v>
      </c>
      <c r="V908" s="12">
        <f t="shared" si="539"/>
        <v>145.83000000000001</v>
      </c>
      <c r="W908" s="12">
        <f t="shared" si="539"/>
        <v>0</v>
      </c>
      <c r="X908" s="12">
        <f t="shared" si="539"/>
        <v>0</v>
      </c>
      <c r="Y908" s="12">
        <f t="shared" si="539"/>
        <v>0</v>
      </c>
      <c r="Z908" s="12">
        <f t="shared" si="539"/>
        <v>0</v>
      </c>
      <c r="AA908" s="12">
        <f t="shared" si="539"/>
        <v>0</v>
      </c>
      <c r="AB908" s="12">
        <f t="shared" si="539"/>
        <v>0</v>
      </c>
      <c r="AC908" s="12">
        <f>SUM(AC905:AC907)</f>
        <v>145.83000000000001</v>
      </c>
      <c r="AD908" s="12">
        <f>SUM(AD905:AD907)</f>
        <v>77734.570000000007</v>
      </c>
      <c r="AE908" s="12">
        <f>SUM(AE905:AE907)</f>
        <v>77484.570000000007</v>
      </c>
      <c r="AF908" s="12">
        <f t="shared" ref="AF908:AO908" si="540">SUM(AF905:AF907)</f>
        <v>77484.570000000007</v>
      </c>
      <c r="AG908" s="12">
        <f t="shared" si="540"/>
        <v>77484.570000000007</v>
      </c>
      <c r="AH908" s="12">
        <f t="shared" si="540"/>
        <v>77484.570000000007</v>
      </c>
      <c r="AI908" s="12">
        <f t="shared" si="540"/>
        <v>65934.11</v>
      </c>
      <c r="AJ908" s="12">
        <f t="shared" si="540"/>
        <v>65934.11</v>
      </c>
      <c r="AK908" s="12">
        <f t="shared" si="540"/>
        <v>65934.11</v>
      </c>
      <c r="AL908" s="12">
        <f t="shared" si="540"/>
        <v>65934.11</v>
      </c>
      <c r="AM908" s="12">
        <f t="shared" si="540"/>
        <v>65934.11</v>
      </c>
      <c r="AN908" s="12">
        <f t="shared" si="540"/>
        <v>65934.11</v>
      </c>
      <c r="AO908" s="57">
        <f t="shared" si="540"/>
        <v>65155.21</v>
      </c>
      <c r="AP908" s="12">
        <f>SUM(AP905:AP907)</f>
        <v>848432.72</v>
      </c>
    </row>
    <row r="909" spans="1:44" x14ac:dyDescent="0.3">
      <c r="C909" s="13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</row>
    <row r="910" spans="1:44" ht="15.5" x14ac:dyDescent="0.35">
      <c r="A910" s="18">
        <f>A904+1</f>
        <v>113</v>
      </c>
      <c r="C910" s="22" t="s">
        <v>282</v>
      </c>
    </row>
    <row r="911" spans="1:44" x14ac:dyDescent="0.3">
      <c r="C911" s="6" t="s">
        <v>7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  <c r="AB911" s="10">
        <v>0</v>
      </c>
      <c r="AC911" s="10">
        <f>SUM(Q911:AB911)</f>
        <v>0</v>
      </c>
      <c r="AD911" s="10">
        <v>0</v>
      </c>
      <c r="AE911" s="10">
        <v>0</v>
      </c>
      <c r="AF911" s="10">
        <v>0</v>
      </c>
      <c r="AG911" s="10">
        <v>0</v>
      </c>
      <c r="AH911" s="10">
        <v>0</v>
      </c>
      <c r="AI911" s="10">
        <v>0</v>
      </c>
      <c r="AJ911" s="10">
        <v>0</v>
      </c>
      <c r="AK911" s="10">
        <v>0</v>
      </c>
      <c r="AL911" s="10">
        <v>0</v>
      </c>
      <c r="AM911" s="10">
        <v>0</v>
      </c>
      <c r="AN911" s="10">
        <v>0</v>
      </c>
      <c r="AO911" s="55">
        <v>0</v>
      </c>
      <c r="AP911" s="10">
        <f>SUM(AD911:AO911)</f>
        <v>0</v>
      </c>
    </row>
    <row r="912" spans="1:44" x14ac:dyDescent="0.3">
      <c r="C912" s="6" t="s">
        <v>8</v>
      </c>
      <c r="Q912" s="9"/>
      <c r="S912" s="9"/>
      <c r="V912" s="9">
        <v>145.83000000000001</v>
      </c>
      <c r="AC912" s="10">
        <f>SUM(Q912:AB912)</f>
        <v>145.83000000000001</v>
      </c>
      <c r="AD912" s="9">
        <v>250</v>
      </c>
      <c r="AE912" s="9"/>
      <c r="AF912" s="9"/>
      <c r="AG912" s="9"/>
      <c r="AH912" s="9"/>
      <c r="AI912" s="9"/>
      <c r="AJ912" s="9"/>
      <c r="AK912" s="9"/>
      <c r="AL912" s="9"/>
      <c r="AM912" s="9"/>
      <c r="AN912" s="23"/>
      <c r="AO912" s="56"/>
      <c r="AP912" s="10">
        <f>SUM(AD912:AO912)</f>
        <v>250</v>
      </c>
    </row>
    <row r="913" spans="1:44" ht="13.5" thickBot="1" x14ac:dyDescent="0.35">
      <c r="C913" s="6" t="s">
        <v>9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81600.67</v>
      </c>
      <c r="W913" s="10">
        <v>45843.23</v>
      </c>
      <c r="X913" s="10">
        <v>45843.23</v>
      </c>
      <c r="Y913" s="10">
        <v>45843.23</v>
      </c>
      <c r="Z913" s="10">
        <v>45843.23</v>
      </c>
      <c r="AA913" s="10">
        <v>45843.23</v>
      </c>
      <c r="AB913" s="10">
        <v>45843.22</v>
      </c>
      <c r="AC913" s="10">
        <f>SUM(Q913:AB913)</f>
        <v>356660.04000000004</v>
      </c>
      <c r="AD913" s="10">
        <v>69283.59</v>
      </c>
      <c r="AE913" s="10">
        <v>69283.59</v>
      </c>
      <c r="AF913" s="10">
        <v>69283.59</v>
      </c>
      <c r="AG913" s="10">
        <v>69283.59</v>
      </c>
      <c r="AH913" s="10">
        <v>69283.59</v>
      </c>
      <c r="AI913" s="10">
        <v>69283.61</v>
      </c>
      <c r="AJ913" s="10">
        <v>69110.679999999993</v>
      </c>
      <c r="AK913" s="10">
        <v>69110.679999999993</v>
      </c>
      <c r="AL913" s="10">
        <v>69110.679999999993</v>
      </c>
      <c r="AM913" s="10">
        <v>69110.679999999993</v>
      </c>
      <c r="AN913" s="10">
        <v>69110.679999999993</v>
      </c>
      <c r="AO913" s="55">
        <v>69110.66</v>
      </c>
      <c r="AP913" s="10">
        <f>SUM(AD913:AO913)</f>
        <v>830365.61999999976</v>
      </c>
      <c r="AR913" s="33"/>
    </row>
    <row r="914" spans="1:44" ht="13.5" thickBot="1" x14ac:dyDescent="0.35">
      <c r="C914" s="11" t="s">
        <v>166</v>
      </c>
      <c r="Q914" s="12">
        <f t="shared" ref="Q914:AB914" si="541">SUM(Q911:Q913)</f>
        <v>0</v>
      </c>
      <c r="R914" s="12">
        <f t="shared" si="541"/>
        <v>0</v>
      </c>
      <c r="S914" s="12">
        <f t="shared" si="541"/>
        <v>0</v>
      </c>
      <c r="T914" s="12">
        <f t="shared" si="541"/>
        <v>0</v>
      </c>
      <c r="U914" s="12">
        <f t="shared" si="541"/>
        <v>0</v>
      </c>
      <c r="V914" s="12">
        <f t="shared" si="541"/>
        <v>81746.5</v>
      </c>
      <c r="W914" s="12">
        <f t="shared" si="541"/>
        <v>45843.23</v>
      </c>
      <c r="X914" s="12">
        <f t="shared" si="541"/>
        <v>45843.23</v>
      </c>
      <c r="Y914" s="12">
        <f t="shared" si="541"/>
        <v>45843.23</v>
      </c>
      <c r="Z914" s="12">
        <f t="shared" si="541"/>
        <v>45843.23</v>
      </c>
      <c r="AA914" s="12">
        <f t="shared" si="541"/>
        <v>45843.23</v>
      </c>
      <c r="AB914" s="12">
        <f t="shared" si="541"/>
        <v>45843.22</v>
      </c>
      <c r="AC914" s="12">
        <f>SUM(AC911:AC913)</f>
        <v>356805.87000000005</v>
      </c>
      <c r="AD914" s="12">
        <f>SUM(AD911:AD913)</f>
        <v>69533.59</v>
      </c>
      <c r="AE914" s="12">
        <f>SUM(AE911:AE913)</f>
        <v>69283.59</v>
      </c>
      <c r="AF914" s="12">
        <f t="shared" ref="AF914:AO914" si="542">SUM(AF911:AF913)</f>
        <v>69283.59</v>
      </c>
      <c r="AG914" s="12">
        <f t="shared" si="542"/>
        <v>69283.59</v>
      </c>
      <c r="AH914" s="12">
        <f t="shared" si="542"/>
        <v>69283.59</v>
      </c>
      <c r="AI914" s="12">
        <f t="shared" si="542"/>
        <v>69283.61</v>
      </c>
      <c r="AJ914" s="12">
        <f t="shared" si="542"/>
        <v>69110.679999999993</v>
      </c>
      <c r="AK914" s="12">
        <f t="shared" si="542"/>
        <v>69110.679999999993</v>
      </c>
      <c r="AL914" s="12">
        <f t="shared" si="542"/>
        <v>69110.679999999993</v>
      </c>
      <c r="AM914" s="12">
        <f t="shared" si="542"/>
        <v>69110.679999999993</v>
      </c>
      <c r="AN914" s="12">
        <f t="shared" si="542"/>
        <v>69110.679999999993</v>
      </c>
      <c r="AO914" s="57">
        <f t="shared" si="542"/>
        <v>69110.66</v>
      </c>
      <c r="AP914" s="12">
        <f>SUM(AP911:AP913)</f>
        <v>830615.61999999976</v>
      </c>
    </row>
    <row r="915" spans="1:44" x14ac:dyDescent="0.3">
      <c r="C915" s="13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</row>
    <row r="916" spans="1:44" ht="15.5" x14ac:dyDescent="0.35">
      <c r="A916" s="18">
        <f>A910+1</f>
        <v>114</v>
      </c>
      <c r="C916" s="22" t="s">
        <v>283</v>
      </c>
    </row>
    <row r="917" spans="1:44" x14ac:dyDescent="0.3">
      <c r="C917" s="6" t="s">
        <v>7</v>
      </c>
      <c r="Q917" s="10">
        <v>0</v>
      </c>
      <c r="R917" s="10">
        <v>0</v>
      </c>
      <c r="S917" s="10">
        <v>0</v>
      </c>
      <c r="T917" s="10">
        <v>0</v>
      </c>
      <c r="U917" s="10">
        <v>0</v>
      </c>
      <c r="V917" s="10">
        <v>2774.55</v>
      </c>
      <c r="W917" s="10">
        <v>1387.27</v>
      </c>
      <c r="X917" s="10">
        <v>1387.27</v>
      </c>
      <c r="Y917" s="10">
        <v>1387.27</v>
      </c>
      <c r="Z917" s="10">
        <v>1387.27</v>
      </c>
      <c r="AA917" s="10">
        <v>1387.27</v>
      </c>
      <c r="AB917" s="10">
        <v>1387.27</v>
      </c>
      <c r="AC917" s="10">
        <f>SUM(Q917:AB917)</f>
        <v>11098.170000000002</v>
      </c>
      <c r="AD917" s="10">
        <v>1387.27</v>
      </c>
      <c r="AE917" s="10">
        <v>1387.27</v>
      </c>
      <c r="AF917" s="10">
        <v>1387.27</v>
      </c>
      <c r="AG917" s="10">
        <v>1387.27</v>
      </c>
      <c r="AH917" s="10">
        <v>1271.67</v>
      </c>
      <c r="AI917" s="10">
        <v>1271.67</v>
      </c>
      <c r="AJ917" s="10">
        <v>1271.67</v>
      </c>
      <c r="AK917" s="10">
        <v>1271.67</v>
      </c>
      <c r="AL917" s="10">
        <v>1271.67</v>
      </c>
      <c r="AM917" s="10">
        <v>1271.67</v>
      </c>
      <c r="AN917" s="10">
        <v>1271.67</v>
      </c>
      <c r="AO917" s="55">
        <v>1271.67</v>
      </c>
      <c r="AP917" s="10">
        <f>SUM(AD917:AO917)</f>
        <v>15722.44</v>
      </c>
    </row>
    <row r="918" spans="1:44" x14ac:dyDescent="0.3">
      <c r="C918" s="6" t="s">
        <v>8</v>
      </c>
      <c r="Q918" s="9"/>
      <c r="S918" s="9"/>
      <c r="V918" s="9">
        <v>145.83000000000001</v>
      </c>
      <c r="AC918" s="10">
        <f>SUM(Q918:AB918)</f>
        <v>145.83000000000001</v>
      </c>
      <c r="AD918" s="9">
        <v>250</v>
      </c>
      <c r="AE918" s="9"/>
      <c r="AF918" s="9"/>
      <c r="AG918" s="9"/>
      <c r="AH918" s="9"/>
      <c r="AI918" s="9"/>
      <c r="AJ918" s="9"/>
      <c r="AK918" s="9"/>
      <c r="AL918" s="9"/>
      <c r="AM918" s="9"/>
      <c r="AN918" s="23"/>
      <c r="AO918" s="56"/>
      <c r="AP918" s="10">
        <f>SUM(AD918:AO918)</f>
        <v>250</v>
      </c>
    </row>
    <row r="919" spans="1:44" ht="13.5" thickBot="1" x14ac:dyDescent="0.35">
      <c r="C919" s="6" t="s">
        <v>9</v>
      </c>
      <c r="Q919" s="10">
        <v>0</v>
      </c>
      <c r="R919" s="10">
        <v>0</v>
      </c>
      <c r="S919" s="10">
        <v>0</v>
      </c>
      <c r="T919" s="10">
        <v>0</v>
      </c>
      <c r="U919" s="10">
        <v>0</v>
      </c>
      <c r="V919" s="10">
        <v>69900.78</v>
      </c>
      <c r="W919" s="10">
        <v>69900.78</v>
      </c>
      <c r="X919" s="10">
        <v>69900.78</v>
      </c>
      <c r="Y919" s="10">
        <v>69900.78</v>
      </c>
      <c r="Z919" s="10">
        <v>69900.78</v>
      </c>
      <c r="AA919" s="10">
        <v>69900.75</v>
      </c>
      <c r="AB919" s="10">
        <v>69514.58</v>
      </c>
      <c r="AC919" s="10">
        <f>SUM(Q919:AB919)</f>
        <v>488919.23000000004</v>
      </c>
      <c r="AD919" s="10">
        <v>69514.58</v>
      </c>
      <c r="AE919" s="10">
        <v>69514.58</v>
      </c>
      <c r="AF919" s="10">
        <v>69514.58</v>
      </c>
      <c r="AG919" s="10">
        <v>69514.58</v>
      </c>
      <c r="AH919" s="10">
        <v>69514.600000000006</v>
      </c>
      <c r="AI919" s="10">
        <f>10416.67+69514.58</f>
        <v>79931.25</v>
      </c>
      <c r="AJ919" s="10">
        <f t="shared" ref="AJ919:AO919" si="543">10416.67+69514.58</f>
        <v>79931.25</v>
      </c>
      <c r="AK919" s="10">
        <f t="shared" si="543"/>
        <v>79931.25</v>
      </c>
      <c r="AL919" s="10">
        <f t="shared" si="543"/>
        <v>79931.25</v>
      </c>
      <c r="AM919" s="10">
        <f t="shared" si="543"/>
        <v>79931.25</v>
      </c>
      <c r="AN919" s="10">
        <f>10416.67+69514.6</f>
        <v>79931.27</v>
      </c>
      <c r="AO919" s="55">
        <f t="shared" si="543"/>
        <v>79931.25</v>
      </c>
      <c r="AP919" s="10">
        <f>SUM(AD919:AO919)</f>
        <v>907091.69000000006</v>
      </c>
      <c r="AR919" s="33"/>
    </row>
    <row r="920" spans="1:44" ht="13.5" thickBot="1" x14ac:dyDescent="0.35">
      <c r="C920" s="11" t="s">
        <v>120</v>
      </c>
      <c r="Q920" s="12">
        <f t="shared" ref="Q920:AB920" si="544">SUM(Q917:Q919)</f>
        <v>0</v>
      </c>
      <c r="R920" s="12">
        <f t="shared" si="544"/>
        <v>0</v>
      </c>
      <c r="S920" s="12">
        <f t="shared" si="544"/>
        <v>0</v>
      </c>
      <c r="T920" s="12">
        <f t="shared" si="544"/>
        <v>0</v>
      </c>
      <c r="U920" s="12">
        <f t="shared" si="544"/>
        <v>0</v>
      </c>
      <c r="V920" s="12">
        <f t="shared" si="544"/>
        <v>72821.16</v>
      </c>
      <c r="W920" s="12">
        <f t="shared" si="544"/>
        <v>71288.05</v>
      </c>
      <c r="X920" s="12">
        <f t="shared" si="544"/>
        <v>71288.05</v>
      </c>
      <c r="Y920" s="12">
        <f t="shared" si="544"/>
        <v>71288.05</v>
      </c>
      <c r="Z920" s="12">
        <f t="shared" si="544"/>
        <v>71288.05</v>
      </c>
      <c r="AA920" s="12">
        <f t="shared" si="544"/>
        <v>71288.02</v>
      </c>
      <c r="AB920" s="12">
        <f t="shared" si="544"/>
        <v>70901.850000000006</v>
      </c>
      <c r="AC920" s="12">
        <f>SUM(AC917:AC919)</f>
        <v>500163.23000000004</v>
      </c>
      <c r="AD920" s="12">
        <f>SUM(AD917:AD919)</f>
        <v>71151.850000000006</v>
      </c>
      <c r="AE920" s="12">
        <f>SUM(AE917:AE919)</f>
        <v>70901.850000000006</v>
      </c>
      <c r="AF920" s="12">
        <f t="shared" ref="AF920:AO920" si="545">SUM(AF917:AF919)</f>
        <v>70901.850000000006</v>
      </c>
      <c r="AG920" s="12">
        <f t="shared" si="545"/>
        <v>70901.850000000006</v>
      </c>
      <c r="AH920" s="12">
        <f t="shared" si="545"/>
        <v>70786.27</v>
      </c>
      <c r="AI920" s="12">
        <f t="shared" si="545"/>
        <v>81202.92</v>
      </c>
      <c r="AJ920" s="12">
        <f t="shared" si="545"/>
        <v>81202.92</v>
      </c>
      <c r="AK920" s="12">
        <f t="shared" si="545"/>
        <v>81202.92</v>
      </c>
      <c r="AL920" s="12">
        <f t="shared" si="545"/>
        <v>81202.92</v>
      </c>
      <c r="AM920" s="12">
        <f t="shared" si="545"/>
        <v>81202.92</v>
      </c>
      <c r="AN920" s="12">
        <f t="shared" si="545"/>
        <v>81202.94</v>
      </c>
      <c r="AO920" s="57">
        <f t="shared" si="545"/>
        <v>81202.92</v>
      </c>
      <c r="AP920" s="12">
        <f>SUM(AP917:AP919)</f>
        <v>923064.13</v>
      </c>
    </row>
    <row r="921" spans="1:44" x14ac:dyDescent="0.3">
      <c r="C921" s="13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</row>
    <row r="922" spans="1:44" ht="15.5" x14ac:dyDescent="0.35">
      <c r="A922" s="1">
        <f>A916+1</f>
        <v>115</v>
      </c>
      <c r="C922" s="22" t="s">
        <v>284</v>
      </c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</row>
    <row r="923" spans="1:44" x14ac:dyDescent="0.3">
      <c r="C923" s="6" t="s">
        <v>7</v>
      </c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10">
        <v>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0</v>
      </c>
      <c r="Y923" s="10">
        <v>0</v>
      </c>
      <c r="Z923" s="9">
        <v>3414.09</v>
      </c>
      <c r="AA923" s="9">
        <v>3414.09</v>
      </c>
      <c r="AB923" s="9">
        <v>3414.09</v>
      </c>
      <c r="AC923" s="10">
        <f>SUM(Q923:AB923)</f>
        <v>10242.27</v>
      </c>
      <c r="AD923" s="9">
        <v>3414.09</v>
      </c>
      <c r="AE923" s="9">
        <v>3414.09</v>
      </c>
      <c r="AF923" s="9">
        <v>3414.09</v>
      </c>
      <c r="AG923" s="9">
        <v>3414.09</v>
      </c>
      <c r="AH923" s="9">
        <v>3414.09</v>
      </c>
      <c r="AI923" s="9">
        <v>3414.09</v>
      </c>
      <c r="AJ923" s="9">
        <v>3414.09</v>
      </c>
      <c r="AK923" s="9">
        <v>3414.09</v>
      </c>
      <c r="AL923" s="10">
        <v>3129.58</v>
      </c>
      <c r="AM923" s="10">
        <v>3129.58</v>
      </c>
      <c r="AN923" s="10">
        <v>3129.58</v>
      </c>
      <c r="AO923" s="55">
        <v>3129.58</v>
      </c>
      <c r="AP923" s="10">
        <f>SUM(AD923:AO923)</f>
        <v>39831.040000000008</v>
      </c>
    </row>
    <row r="924" spans="1:44" x14ac:dyDescent="0.3">
      <c r="C924" s="6" t="s">
        <v>8</v>
      </c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9"/>
      <c r="R924" s="9"/>
      <c r="S924" s="9"/>
      <c r="T924" s="9"/>
      <c r="U924" s="9"/>
      <c r="V924" s="9"/>
      <c r="W924" s="9"/>
      <c r="X924" s="9"/>
      <c r="Y924" s="9"/>
      <c r="Z924" s="9">
        <v>62.5</v>
      </c>
      <c r="AA924" s="9"/>
      <c r="AB924" s="9"/>
      <c r="AC924" s="10">
        <f>SUM(Q924:AB924)</f>
        <v>62.5</v>
      </c>
      <c r="AD924" s="9">
        <v>250</v>
      </c>
      <c r="AE924" s="9"/>
      <c r="AF924" s="9"/>
      <c r="AG924" s="9"/>
      <c r="AH924" s="9"/>
      <c r="AI924" s="9"/>
      <c r="AJ924" s="9"/>
      <c r="AK924" s="9"/>
      <c r="AL924" s="9"/>
      <c r="AM924" s="9"/>
      <c r="AN924" s="23"/>
      <c r="AO924" s="56"/>
      <c r="AP924" s="10">
        <f>SUM(AD924:AO924)</f>
        <v>250</v>
      </c>
    </row>
    <row r="925" spans="1:44" ht="13.5" thickBot="1" x14ac:dyDescent="0.35">
      <c r="C925" s="6" t="s">
        <v>9</v>
      </c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10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9">
        <v>0</v>
      </c>
      <c r="AA925" s="9">
        <v>0</v>
      </c>
      <c r="AB925" s="9">
        <v>0</v>
      </c>
      <c r="AC925" s="10">
        <f>SUM(Q925:AB925)</f>
        <v>0</v>
      </c>
      <c r="AD925" s="10">
        <v>0</v>
      </c>
      <c r="AE925" s="10">
        <v>0</v>
      </c>
      <c r="AF925" s="10">
        <v>0</v>
      </c>
      <c r="AG925" s="10">
        <v>0</v>
      </c>
      <c r="AH925" s="10">
        <v>0</v>
      </c>
      <c r="AI925" s="10">
        <v>0</v>
      </c>
      <c r="AJ925" s="10">
        <v>0</v>
      </c>
      <c r="AK925" s="10">
        <v>0</v>
      </c>
      <c r="AL925" s="10">
        <v>0</v>
      </c>
      <c r="AM925" s="10">
        <v>0</v>
      </c>
      <c r="AN925" s="10">
        <v>0</v>
      </c>
      <c r="AO925" s="55">
        <v>0</v>
      </c>
      <c r="AP925" s="10">
        <f>SUM(AD925:AO925)</f>
        <v>0</v>
      </c>
      <c r="AR925" s="33"/>
    </row>
    <row r="926" spans="1:44" ht="13.5" thickBot="1" x14ac:dyDescent="0.35">
      <c r="C926" s="11" t="s">
        <v>157</v>
      </c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12">
        <f t="shared" ref="Q926:Y926" si="546">SUM(Q923:Q925)</f>
        <v>0</v>
      </c>
      <c r="R926" s="12">
        <f t="shared" si="546"/>
        <v>0</v>
      </c>
      <c r="S926" s="12">
        <f t="shared" si="546"/>
        <v>0</v>
      </c>
      <c r="T926" s="12">
        <f t="shared" si="546"/>
        <v>0</v>
      </c>
      <c r="U926" s="12">
        <f t="shared" si="546"/>
        <v>0</v>
      </c>
      <c r="V926" s="12">
        <f t="shared" si="546"/>
        <v>0</v>
      </c>
      <c r="W926" s="12">
        <f t="shared" si="546"/>
        <v>0</v>
      </c>
      <c r="X926" s="12">
        <f t="shared" si="546"/>
        <v>0</v>
      </c>
      <c r="Y926" s="12">
        <f t="shared" si="546"/>
        <v>0</v>
      </c>
      <c r="Z926" s="12">
        <f t="shared" ref="Z926:AE926" si="547">SUM(Z923:Z925)</f>
        <v>3476.59</v>
      </c>
      <c r="AA926" s="12">
        <f t="shared" si="547"/>
        <v>3414.09</v>
      </c>
      <c r="AB926" s="12">
        <f t="shared" si="547"/>
        <v>3414.09</v>
      </c>
      <c r="AC926" s="12">
        <f t="shared" si="547"/>
        <v>10304.77</v>
      </c>
      <c r="AD926" s="12">
        <f t="shared" si="547"/>
        <v>3664.09</v>
      </c>
      <c r="AE926" s="12">
        <f t="shared" si="547"/>
        <v>3414.09</v>
      </c>
      <c r="AF926" s="12">
        <f t="shared" ref="AF926:AO926" si="548">SUM(AF923:AF925)</f>
        <v>3414.09</v>
      </c>
      <c r="AG926" s="12">
        <f t="shared" si="548"/>
        <v>3414.09</v>
      </c>
      <c r="AH926" s="12">
        <f t="shared" si="548"/>
        <v>3414.09</v>
      </c>
      <c r="AI926" s="12">
        <f t="shared" si="548"/>
        <v>3414.09</v>
      </c>
      <c r="AJ926" s="12">
        <f t="shared" si="548"/>
        <v>3414.09</v>
      </c>
      <c r="AK926" s="12">
        <f t="shared" si="548"/>
        <v>3414.09</v>
      </c>
      <c r="AL926" s="12">
        <f t="shared" si="548"/>
        <v>3129.58</v>
      </c>
      <c r="AM926" s="12">
        <f t="shared" si="548"/>
        <v>3129.58</v>
      </c>
      <c r="AN926" s="12">
        <f t="shared" si="548"/>
        <v>3129.58</v>
      </c>
      <c r="AO926" s="57">
        <f t="shared" si="548"/>
        <v>3129.58</v>
      </c>
      <c r="AP926" s="12">
        <f>SUM(AP923:AP925)</f>
        <v>40081.040000000008</v>
      </c>
    </row>
    <row r="927" spans="1:44" x14ac:dyDescent="0.3">
      <c r="C927" s="13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</row>
    <row r="928" spans="1:44" ht="15.5" x14ac:dyDescent="0.35">
      <c r="A928" s="1">
        <f>A922+1</f>
        <v>116</v>
      </c>
      <c r="C928" s="22" t="s">
        <v>285</v>
      </c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</row>
    <row r="929" spans="1:44" x14ac:dyDescent="0.3">
      <c r="C929" s="6" t="s">
        <v>7</v>
      </c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0</v>
      </c>
      <c r="AB929" s="10">
        <v>0</v>
      </c>
      <c r="AC929" s="10">
        <f>SUM(Q929:AB929)</f>
        <v>0</v>
      </c>
      <c r="AD929" s="10">
        <v>0</v>
      </c>
      <c r="AE929" s="10">
        <v>0</v>
      </c>
      <c r="AF929" s="10">
        <v>0</v>
      </c>
      <c r="AG929" s="10">
        <v>0</v>
      </c>
      <c r="AH929" s="10">
        <v>0</v>
      </c>
      <c r="AI929" s="10">
        <v>0</v>
      </c>
      <c r="AJ929" s="10">
        <v>0</v>
      </c>
      <c r="AK929" s="10">
        <v>0</v>
      </c>
      <c r="AL929" s="10">
        <v>0</v>
      </c>
      <c r="AM929" s="10">
        <v>0</v>
      </c>
      <c r="AN929" s="10">
        <v>0</v>
      </c>
      <c r="AO929" s="55">
        <v>0</v>
      </c>
      <c r="AP929" s="10">
        <f>SUM(AD929:AO929)</f>
        <v>0</v>
      </c>
    </row>
    <row r="930" spans="1:44" x14ac:dyDescent="0.3">
      <c r="C930" s="6" t="s">
        <v>8</v>
      </c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>
        <v>20.83</v>
      </c>
      <c r="AC930" s="10">
        <f>SUM(Q930:AB930)</f>
        <v>20.83</v>
      </c>
      <c r="AD930" s="9">
        <v>250</v>
      </c>
      <c r="AE930" s="9"/>
      <c r="AF930" s="9"/>
      <c r="AG930" s="9"/>
      <c r="AH930" s="9"/>
      <c r="AI930" s="9"/>
      <c r="AJ930" s="9"/>
      <c r="AK930" s="9"/>
      <c r="AL930" s="9"/>
      <c r="AM930" s="9"/>
      <c r="AN930" s="23"/>
      <c r="AO930" s="56"/>
      <c r="AP930" s="10">
        <f>SUM(AD930:AO930)</f>
        <v>250</v>
      </c>
    </row>
    <row r="931" spans="1:44" ht="13.5" thickBot="1" x14ac:dyDescent="0.35">
      <c r="C931" s="6" t="s">
        <v>9</v>
      </c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10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9">
        <v>33347.730000000003</v>
      </c>
      <c r="AC931" s="10">
        <f>SUM(Q931:AB931)</f>
        <v>33347.730000000003</v>
      </c>
      <c r="AD931" s="9">
        <v>33347.730000000003</v>
      </c>
      <c r="AE931" s="9">
        <v>33347.730000000003</v>
      </c>
      <c r="AF931" s="9">
        <v>33347.730000000003</v>
      </c>
      <c r="AG931" s="9">
        <v>33347.730000000003</v>
      </c>
      <c r="AH931" s="9">
        <v>33347.730000000003</v>
      </c>
      <c r="AI931" s="9">
        <v>33347.730000000003</v>
      </c>
      <c r="AJ931" s="10">
        <v>33507.29</v>
      </c>
      <c r="AK931" s="10">
        <v>33507.29</v>
      </c>
      <c r="AL931" s="10">
        <v>33507.29</v>
      </c>
      <c r="AM931" s="10">
        <v>33507.29</v>
      </c>
      <c r="AN931" s="10">
        <v>33507.29</v>
      </c>
      <c r="AO931" s="55">
        <v>33507.29</v>
      </c>
      <c r="AP931" s="10">
        <f>SUM(AD931:AO931)</f>
        <v>401130.11999999994</v>
      </c>
      <c r="AR931" s="33"/>
    </row>
    <row r="932" spans="1:44" ht="13.5" thickBot="1" x14ac:dyDescent="0.35">
      <c r="C932" s="11" t="s">
        <v>28</v>
      </c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12">
        <f t="shared" ref="Q932:Y932" si="549">SUM(Q929:Q931)</f>
        <v>0</v>
      </c>
      <c r="R932" s="12">
        <f t="shared" si="549"/>
        <v>0</v>
      </c>
      <c r="S932" s="12">
        <f t="shared" si="549"/>
        <v>0</v>
      </c>
      <c r="T932" s="12">
        <f t="shared" si="549"/>
        <v>0</v>
      </c>
      <c r="U932" s="12">
        <f t="shared" si="549"/>
        <v>0</v>
      </c>
      <c r="V932" s="12">
        <f t="shared" si="549"/>
        <v>0</v>
      </c>
      <c r="W932" s="12">
        <f t="shared" si="549"/>
        <v>0</v>
      </c>
      <c r="X932" s="12">
        <f t="shared" si="549"/>
        <v>0</v>
      </c>
      <c r="Y932" s="12">
        <f t="shared" si="549"/>
        <v>0</v>
      </c>
      <c r="Z932" s="12">
        <f t="shared" ref="Z932:AE932" si="550">SUM(Z929:Z931)</f>
        <v>0</v>
      </c>
      <c r="AA932" s="12">
        <f t="shared" si="550"/>
        <v>0</v>
      </c>
      <c r="AB932" s="12">
        <f t="shared" si="550"/>
        <v>33368.560000000005</v>
      </c>
      <c r="AC932" s="12">
        <f t="shared" si="550"/>
        <v>33368.560000000005</v>
      </c>
      <c r="AD932" s="12">
        <f t="shared" si="550"/>
        <v>33597.730000000003</v>
      </c>
      <c r="AE932" s="12">
        <f t="shared" si="550"/>
        <v>33347.730000000003</v>
      </c>
      <c r="AF932" s="12">
        <f t="shared" ref="AF932:AO932" si="551">SUM(AF929:AF931)</f>
        <v>33347.730000000003</v>
      </c>
      <c r="AG932" s="12">
        <f t="shared" si="551"/>
        <v>33347.730000000003</v>
      </c>
      <c r="AH932" s="12">
        <f t="shared" si="551"/>
        <v>33347.730000000003</v>
      </c>
      <c r="AI932" s="12">
        <f t="shared" si="551"/>
        <v>33347.730000000003</v>
      </c>
      <c r="AJ932" s="12">
        <f t="shared" si="551"/>
        <v>33507.29</v>
      </c>
      <c r="AK932" s="12">
        <f t="shared" si="551"/>
        <v>33507.29</v>
      </c>
      <c r="AL932" s="12">
        <f t="shared" si="551"/>
        <v>33507.29</v>
      </c>
      <c r="AM932" s="12">
        <f t="shared" si="551"/>
        <v>33507.29</v>
      </c>
      <c r="AN932" s="12">
        <f t="shared" si="551"/>
        <v>33507.29</v>
      </c>
      <c r="AO932" s="57">
        <f t="shared" si="551"/>
        <v>33507.29</v>
      </c>
      <c r="AP932" s="12">
        <f>SUM(AP929:AP931)</f>
        <v>401380.11999999994</v>
      </c>
    </row>
    <row r="933" spans="1:44" x14ac:dyDescent="0.3">
      <c r="C933" s="13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</row>
    <row r="934" spans="1:44" ht="15.5" x14ac:dyDescent="0.35">
      <c r="A934" s="1">
        <f>A928+1</f>
        <v>117</v>
      </c>
      <c r="C934" s="22" t="s">
        <v>286</v>
      </c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</row>
    <row r="935" spans="1:44" x14ac:dyDescent="0.3">
      <c r="C935" s="6" t="s">
        <v>7</v>
      </c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10">
        <v>0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0</v>
      </c>
      <c r="AA935" s="10">
        <v>0</v>
      </c>
      <c r="AB935" s="10">
        <v>0</v>
      </c>
      <c r="AC935" s="10">
        <f>SUM(Q935:AB935)</f>
        <v>0</v>
      </c>
      <c r="AD935" s="10">
        <v>0</v>
      </c>
      <c r="AE935" s="10">
        <v>0</v>
      </c>
      <c r="AF935" s="10">
        <v>532.27</v>
      </c>
      <c r="AG935" s="10">
        <v>532.27</v>
      </c>
      <c r="AH935" s="10">
        <v>532.27</v>
      </c>
      <c r="AI935" s="10">
        <v>532.27</v>
      </c>
      <c r="AJ935" s="10">
        <v>532.27</v>
      </c>
      <c r="AK935" s="10">
        <v>532.27</v>
      </c>
      <c r="AL935" s="10">
        <v>532.27</v>
      </c>
      <c r="AM935" s="10">
        <v>532.27</v>
      </c>
      <c r="AN935" s="10">
        <v>532.27</v>
      </c>
      <c r="AO935" s="55">
        <v>532.27</v>
      </c>
      <c r="AP935" s="10">
        <f>SUM(AD935:AO935)</f>
        <v>5322.7000000000007</v>
      </c>
    </row>
    <row r="936" spans="1:44" x14ac:dyDescent="0.3">
      <c r="C936" s="6" t="s">
        <v>8</v>
      </c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>
        <v>20.83</v>
      </c>
      <c r="AC936" s="10">
        <f>SUM(Q936:AB936)</f>
        <v>20.83</v>
      </c>
      <c r="AD936" s="9"/>
      <c r="AE936" s="9"/>
      <c r="AF936" s="9">
        <v>208.33</v>
      </c>
      <c r="AG936" s="9"/>
      <c r="AH936" s="9"/>
      <c r="AI936" s="9"/>
      <c r="AJ936" s="9"/>
      <c r="AK936" s="9"/>
      <c r="AL936" s="9"/>
      <c r="AM936" s="9"/>
      <c r="AN936" s="23"/>
      <c r="AO936" s="56"/>
      <c r="AP936" s="10">
        <f>SUM(AD936:AO936)</f>
        <v>208.33</v>
      </c>
    </row>
    <row r="937" spans="1:44" ht="13.5" thickBot="1" x14ac:dyDescent="0.35">
      <c r="C937" s="6" t="s">
        <v>9</v>
      </c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10">
        <v>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0</v>
      </c>
      <c r="Y937" s="10">
        <v>0</v>
      </c>
      <c r="Z937" s="10">
        <v>0</v>
      </c>
      <c r="AA937" s="10">
        <v>0</v>
      </c>
      <c r="AB937" s="9">
        <v>33347.730000000003</v>
      </c>
      <c r="AC937" s="10">
        <f>SUM(Q937:AB937)</f>
        <v>33347.730000000003</v>
      </c>
      <c r="AD937" s="10">
        <v>0</v>
      </c>
      <c r="AE937" s="10">
        <v>0</v>
      </c>
      <c r="AF937" s="10">
        <v>23303</v>
      </c>
      <c r="AG937" s="10">
        <v>23303</v>
      </c>
      <c r="AH937" s="10">
        <v>23303</v>
      </c>
      <c r="AI937" s="10">
        <v>23303.01</v>
      </c>
      <c r="AJ937" s="10">
        <v>23110.42</v>
      </c>
      <c r="AK937" s="10">
        <v>23110.42</v>
      </c>
      <c r="AL937" s="10">
        <v>23110.42</v>
      </c>
      <c r="AM937" s="10">
        <v>23110.42</v>
      </c>
      <c r="AN937" s="10">
        <v>23110.42</v>
      </c>
      <c r="AO937" s="55">
        <v>23110.400000000001</v>
      </c>
      <c r="AP937" s="10">
        <f>SUM(AD937:AO937)</f>
        <v>231874.50999999992</v>
      </c>
      <c r="AR937" s="33"/>
    </row>
    <row r="938" spans="1:44" ht="13.5" thickBot="1" x14ac:dyDescent="0.35">
      <c r="C938" s="11" t="s">
        <v>87</v>
      </c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12">
        <f t="shared" ref="Q938:Y938" si="552">SUM(Q935:Q937)</f>
        <v>0</v>
      </c>
      <c r="R938" s="12">
        <f t="shared" si="552"/>
        <v>0</v>
      </c>
      <c r="S938" s="12">
        <f t="shared" si="552"/>
        <v>0</v>
      </c>
      <c r="T938" s="12">
        <f t="shared" si="552"/>
        <v>0</v>
      </c>
      <c r="U938" s="12">
        <f t="shared" si="552"/>
        <v>0</v>
      </c>
      <c r="V938" s="12">
        <f t="shared" si="552"/>
        <v>0</v>
      </c>
      <c r="W938" s="12">
        <f t="shared" si="552"/>
        <v>0</v>
      </c>
      <c r="X938" s="12">
        <f t="shared" si="552"/>
        <v>0</v>
      </c>
      <c r="Y938" s="12">
        <f t="shared" si="552"/>
        <v>0</v>
      </c>
      <c r="Z938" s="12">
        <f t="shared" ref="Z938:AE938" si="553">SUM(Z935:Z937)</f>
        <v>0</v>
      </c>
      <c r="AA938" s="12">
        <f t="shared" si="553"/>
        <v>0</v>
      </c>
      <c r="AB938" s="12">
        <f t="shared" si="553"/>
        <v>33368.560000000005</v>
      </c>
      <c r="AC938" s="12">
        <f t="shared" si="553"/>
        <v>33368.560000000005</v>
      </c>
      <c r="AD938" s="12">
        <f t="shared" si="553"/>
        <v>0</v>
      </c>
      <c r="AE938" s="12">
        <f t="shared" si="553"/>
        <v>0</v>
      </c>
      <c r="AF938" s="12">
        <f t="shared" ref="AF938:AO938" si="554">SUM(AF935:AF937)</f>
        <v>24043.599999999999</v>
      </c>
      <c r="AG938" s="12">
        <f t="shared" si="554"/>
        <v>23835.27</v>
      </c>
      <c r="AH938" s="12">
        <f t="shared" si="554"/>
        <v>23835.27</v>
      </c>
      <c r="AI938" s="12">
        <f t="shared" si="554"/>
        <v>23835.279999999999</v>
      </c>
      <c r="AJ938" s="12">
        <f t="shared" si="554"/>
        <v>23642.69</v>
      </c>
      <c r="AK938" s="12">
        <f t="shared" si="554"/>
        <v>23642.69</v>
      </c>
      <c r="AL938" s="12">
        <f t="shared" si="554"/>
        <v>23642.69</v>
      </c>
      <c r="AM938" s="12">
        <f t="shared" si="554"/>
        <v>23642.69</v>
      </c>
      <c r="AN938" s="12">
        <f t="shared" si="554"/>
        <v>23642.69</v>
      </c>
      <c r="AO938" s="57">
        <f t="shared" si="554"/>
        <v>23642.670000000002</v>
      </c>
      <c r="AP938" s="12">
        <f>SUM(AP935:AP937)</f>
        <v>237405.53999999992</v>
      </c>
    </row>
    <row r="939" spans="1:44" x14ac:dyDescent="0.3">
      <c r="C939" s="13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</row>
    <row r="940" spans="1:44" ht="15.5" x14ac:dyDescent="0.35">
      <c r="A940" s="1">
        <f>A934+1</f>
        <v>118</v>
      </c>
      <c r="C940" s="22" t="s">
        <v>287</v>
      </c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</row>
    <row r="941" spans="1:44" x14ac:dyDescent="0.3">
      <c r="C941" s="6" t="s">
        <v>7</v>
      </c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AD941" s="10">
        <v>0</v>
      </c>
      <c r="AE941" s="10">
        <v>0</v>
      </c>
      <c r="AF941" s="10">
        <v>0</v>
      </c>
      <c r="AG941" s="10">
        <v>0</v>
      </c>
      <c r="AH941" s="10">
        <v>0</v>
      </c>
      <c r="AI941" s="10">
        <v>0</v>
      </c>
      <c r="AJ941" s="10">
        <v>0</v>
      </c>
      <c r="AK941" s="10">
        <v>0</v>
      </c>
      <c r="AL941" s="10">
        <v>0</v>
      </c>
      <c r="AM941" s="10">
        <v>0</v>
      </c>
      <c r="AN941" s="10">
        <v>0</v>
      </c>
      <c r="AO941" s="55">
        <v>0</v>
      </c>
      <c r="AP941" s="10">
        <f>SUM(AD941:AO941)</f>
        <v>0</v>
      </c>
    </row>
    <row r="942" spans="1:44" x14ac:dyDescent="0.3">
      <c r="C942" s="6" t="s">
        <v>8</v>
      </c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AD942" s="9"/>
      <c r="AE942" s="9"/>
      <c r="AF942" s="9"/>
      <c r="AG942" s="9">
        <v>187.5</v>
      </c>
      <c r="AH942" s="9"/>
      <c r="AI942" s="9"/>
      <c r="AJ942" s="9"/>
      <c r="AK942" s="9"/>
      <c r="AL942" s="9"/>
      <c r="AM942" s="9"/>
      <c r="AN942" s="23"/>
      <c r="AO942" s="56"/>
      <c r="AP942" s="10">
        <f>SUM(AD942:AO942)</f>
        <v>187.5</v>
      </c>
    </row>
    <row r="943" spans="1:44" ht="13.5" thickBot="1" x14ac:dyDescent="0.35">
      <c r="C943" s="6" t="s">
        <v>9</v>
      </c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AD943" s="10">
        <v>0</v>
      </c>
      <c r="AE943" s="10">
        <v>0</v>
      </c>
      <c r="AF943" s="10">
        <v>0</v>
      </c>
      <c r="AG943" s="10">
        <v>70207.5</v>
      </c>
      <c r="AH943" s="10">
        <v>70207.5</v>
      </c>
      <c r="AI943" s="10">
        <v>61050</v>
      </c>
      <c r="AJ943" s="10">
        <v>61050</v>
      </c>
      <c r="AK943" s="10">
        <v>61050</v>
      </c>
      <c r="AL943" s="10">
        <v>61050</v>
      </c>
      <c r="AM943" s="10">
        <v>61050</v>
      </c>
      <c r="AN943" s="10">
        <v>61050</v>
      </c>
      <c r="AO943" s="55">
        <v>61050</v>
      </c>
      <c r="AP943" s="10">
        <f>SUM(AD943:AO943)</f>
        <v>567765</v>
      </c>
      <c r="AR943" s="33"/>
    </row>
    <row r="944" spans="1:44" ht="13.5" thickBot="1" x14ac:dyDescent="0.35">
      <c r="C944" s="11" t="s">
        <v>99</v>
      </c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AD944" s="12">
        <f>SUM(AD941:AD943)</f>
        <v>0</v>
      </c>
      <c r="AE944" s="12">
        <f>SUM(AE941:AE943)</f>
        <v>0</v>
      </c>
      <c r="AF944" s="12">
        <f t="shared" ref="AF944:AO944" si="555">SUM(AF941:AF943)</f>
        <v>0</v>
      </c>
      <c r="AG944" s="12">
        <f t="shared" si="555"/>
        <v>70395</v>
      </c>
      <c r="AH944" s="12">
        <f t="shared" si="555"/>
        <v>70207.5</v>
      </c>
      <c r="AI944" s="12">
        <f t="shared" si="555"/>
        <v>61050</v>
      </c>
      <c r="AJ944" s="12">
        <f t="shared" si="555"/>
        <v>61050</v>
      </c>
      <c r="AK944" s="12">
        <f t="shared" si="555"/>
        <v>61050</v>
      </c>
      <c r="AL944" s="12">
        <f t="shared" si="555"/>
        <v>61050</v>
      </c>
      <c r="AM944" s="12">
        <f t="shared" si="555"/>
        <v>61050</v>
      </c>
      <c r="AN944" s="12">
        <f t="shared" si="555"/>
        <v>61050</v>
      </c>
      <c r="AO944" s="57">
        <f t="shared" si="555"/>
        <v>61050</v>
      </c>
      <c r="AP944" s="12">
        <f>SUM(AP941:AP943)</f>
        <v>567952.5</v>
      </c>
    </row>
    <row r="945" spans="1:44" x14ac:dyDescent="0.3">
      <c r="C945" s="13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</row>
    <row r="946" spans="1:44" ht="15.5" x14ac:dyDescent="0.35">
      <c r="A946" s="1">
        <f>A940+1</f>
        <v>119</v>
      </c>
      <c r="C946" s="22" t="s">
        <v>288</v>
      </c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</row>
    <row r="947" spans="1:44" x14ac:dyDescent="0.3">
      <c r="C947" s="6" t="s">
        <v>7</v>
      </c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AD947" s="10">
        <v>0</v>
      </c>
      <c r="AE947" s="10">
        <v>0</v>
      </c>
      <c r="AF947" s="10">
        <v>0</v>
      </c>
      <c r="AG947" s="10">
        <v>0</v>
      </c>
      <c r="AH947" s="10">
        <v>0</v>
      </c>
      <c r="AI947" s="10">
        <v>0</v>
      </c>
      <c r="AJ947" s="10">
        <v>0</v>
      </c>
      <c r="AK947" s="10">
        <v>0</v>
      </c>
      <c r="AL947" s="10">
        <v>0</v>
      </c>
      <c r="AM947" s="10">
        <v>0</v>
      </c>
      <c r="AN947" s="10">
        <v>0</v>
      </c>
      <c r="AO947" s="55">
        <v>0</v>
      </c>
      <c r="AP947" s="10">
        <f>SUM(AD947:AO947)</f>
        <v>0</v>
      </c>
    </row>
    <row r="948" spans="1:44" x14ac:dyDescent="0.3">
      <c r="C948" s="6" t="s">
        <v>8</v>
      </c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AD948" s="9"/>
      <c r="AE948" s="9"/>
      <c r="AF948" s="9"/>
      <c r="AG948" s="9">
        <v>187.5</v>
      </c>
      <c r="AH948" s="9"/>
      <c r="AI948" s="9"/>
      <c r="AJ948" s="9"/>
      <c r="AK948" s="9"/>
      <c r="AL948" s="9"/>
      <c r="AM948" s="9"/>
      <c r="AN948" s="23"/>
      <c r="AO948" s="56"/>
      <c r="AP948" s="10">
        <f>SUM(AD948:AO948)</f>
        <v>187.5</v>
      </c>
    </row>
    <row r="949" spans="1:44" ht="13.5" thickBot="1" x14ac:dyDescent="0.35">
      <c r="C949" s="6" t="s">
        <v>9</v>
      </c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AD949" s="10">
        <v>0</v>
      </c>
      <c r="AE949" s="10">
        <v>0</v>
      </c>
      <c r="AF949" s="10">
        <v>0</v>
      </c>
      <c r="AG949" s="28"/>
      <c r="AH949" s="28">
        <v>74204.17</v>
      </c>
      <c r="AI949" s="32">
        <v>0</v>
      </c>
      <c r="AJ949" s="10">
        <v>1267.5</v>
      </c>
      <c r="AK949" s="10">
        <v>74204.17</v>
      </c>
      <c r="AL949" s="10">
        <v>74204.17</v>
      </c>
      <c r="AM949" s="10">
        <v>74204.17</v>
      </c>
      <c r="AN949" s="10">
        <v>74204.17</v>
      </c>
      <c r="AO949" s="55">
        <v>74204.17</v>
      </c>
      <c r="AP949" s="10">
        <f>SUM(AD949:AO949)</f>
        <v>446492.51999999996</v>
      </c>
      <c r="AQ949" s="10"/>
      <c r="AR949" s="33"/>
    </row>
    <row r="950" spans="1:44" ht="13.5" thickBot="1" x14ac:dyDescent="0.35">
      <c r="C950" s="11" t="s">
        <v>289</v>
      </c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AD950" s="12">
        <f>SUM(AD947:AD949)</f>
        <v>0</v>
      </c>
      <c r="AE950" s="12">
        <f>SUM(AE947:AE949)</f>
        <v>0</v>
      </c>
      <c r="AF950" s="12">
        <f t="shared" ref="AF950:AO950" si="556">SUM(AF947:AF949)</f>
        <v>0</v>
      </c>
      <c r="AG950" s="12">
        <f t="shared" si="556"/>
        <v>187.5</v>
      </c>
      <c r="AH950" s="12">
        <f t="shared" si="556"/>
        <v>74204.17</v>
      </c>
      <c r="AI950" s="12">
        <f t="shared" si="556"/>
        <v>0</v>
      </c>
      <c r="AJ950" s="12">
        <f t="shared" si="556"/>
        <v>1267.5</v>
      </c>
      <c r="AK950" s="12">
        <f t="shared" si="556"/>
        <v>74204.17</v>
      </c>
      <c r="AL950" s="12">
        <f t="shared" si="556"/>
        <v>74204.17</v>
      </c>
      <c r="AM950" s="12">
        <f t="shared" si="556"/>
        <v>74204.17</v>
      </c>
      <c r="AN950" s="12">
        <f t="shared" si="556"/>
        <v>74204.17</v>
      </c>
      <c r="AO950" s="57">
        <f t="shared" si="556"/>
        <v>74204.17</v>
      </c>
      <c r="AP950" s="12">
        <f>SUM(AP947:AP949)</f>
        <v>446680.01999999996</v>
      </c>
      <c r="AR950" s="10"/>
    </row>
    <row r="951" spans="1:44" x14ac:dyDescent="0.3">
      <c r="C951" s="13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AR951" s="10"/>
    </row>
    <row r="952" spans="1:44" ht="15.5" x14ac:dyDescent="0.35">
      <c r="A952" s="1">
        <f>A946+1</f>
        <v>120</v>
      </c>
      <c r="C952" s="22" t="s">
        <v>290</v>
      </c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AR952" s="10"/>
    </row>
    <row r="953" spans="1:44" x14ac:dyDescent="0.3">
      <c r="C953" s="6" t="s">
        <v>7</v>
      </c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AN953" s="33">
        <v>0</v>
      </c>
      <c r="AO953" s="59">
        <v>0</v>
      </c>
      <c r="AP953" s="10">
        <f>SUM(AD953:AO953)</f>
        <v>0</v>
      </c>
      <c r="AR953" s="10"/>
    </row>
    <row r="954" spans="1:44" x14ac:dyDescent="0.3">
      <c r="C954" s="6" t="s">
        <v>8</v>
      </c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AN954" s="33">
        <v>83.33</v>
      </c>
      <c r="AO954" s="59">
        <v>0</v>
      </c>
      <c r="AP954" s="10">
        <f>SUM(AD954:AO954)</f>
        <v>83.33</v>
      </c>
      <c r="AR954" s="10"/>
    </row>
    <row r="955" spans="1:44" ht="13.5" thickBot="1" x14ac:dyDescent="0.35">
      <c r="C955" s="6" t="s">
        <v>9</v>
      </c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AN955" s="33">
        <v>0</v>
      </c>
      <c r="AO955" s="59">
        <v>0</v>
      </c>
      <c r="AP955" s="10">
        <f>SUM(AD955:AO955)</f>
        <v>0</v>
      </c>
      <c r="AR955" s="33"/>
    </row>
    <row r="956" spans="1:44" ht="13.5" thickBot="1" x14ac:dyDescent="0.35">
      <c r="C956" s="11" t="s">
        <v>289</v>
      </c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AN956" s="12">
        <f>SUM(AN953:AN955)</f>
        <v>83.33</v>
      </c>
      <c r="AO956" s="57">
        <f>SUM(AO953:AO955)</f>
        <v>0</v>
      </c>
      <c r="AP956" s="12">
        <f>SUM(AP953:AP955)</f>
        <v>83.33</v>
      </c>
      <c r="AR956" s="10"/>
    </row>
    <row r="957" spans="1:44" x14ac:dyDescent="0.3">
      <c r="C957" s="13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AR957" s="10"/>
    </row>
    <row r="958" spans="1:44" ht="15.5" x14ac:dyDescent="0.35">
      <c r="A958" s="1">
        <v>121</v>
      </c>
      <c r="C958" s="22" t="s">
        <v>291</v>
      </c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AR958" s="10"/>
    </row>
    <row r="959" spans="1:44" x14ac:dyDescent="0.3">
      <c r="C959" s="6" t="s">
        <v>7</v>
      </c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AD959" s="10">
        <v>0</v>
      </c>
      <c r="AE959" s="10">
        <v>0</v>
      </c>
      <c r="AF959" s="10">
        <v>0</v>
      </c>
      <c r="AG959" s="10">
        <v>0</v>
      </c>
      <c r="AH959" s="10">
        <v>0</v>
      </c>
      <c r="AI959" s="10">
        <v>0</v>
      </c>
      <c r="AJ959" s="10">
        <v>0</v>
      </c>
      <c r="AK959" s="10">
        <v>0</v>
      </c>
      <c r="AL959" s="10">
        <v>0</v>
      </c>
      <c r="AM959" s="10">
        <v>0</v>
      </c>
      <c r="AN959" s="10">
        <v>0</v>
      </c>
      <c r="AO959" s="55">
        <v>0</v>
      </c>
      <c r="AP959" s="10">
        <f>SUM(AD959:AO959)</f>
        <v>0</v>
      </c>
    </row>
    <row r="960" spans="1:44" x14ac:dyDescent="0.3">
      <c r="C960" s="6" t="s">
        <v>8</v>
      </c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AD960" s="9"/>
      <c r="AE960" s="9"/>
      <c r="AF960" s="9"/>
      <c r="AG960" s="9">
        <v>187.5</v>
      </c>
      <c r="AH960" s="9"/>
      <c r="AI960" s="9"/>
      <c r="AJ960" s="9"/>
      <c r="AK960" s="9"/>
      <c r="AL960" s="9"/>
      <c r="AM960" s="9"/>
      <c r="AN960" s="23"/>
      <c r="AO960" s="56"/>
      <c r="AP960" s="10">
        <f>SUM(AD960:AO960)</f>
        <v>187.5</v>
      </c>
    </row>
    <row r="961" spans="1:44" ht="13.5" thickBot="1" x14ac:dyDescent="0.35">
      <c r="C961" s="6" t="s">
        <v>9</v>
      </c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AD961" s="10">
        <v>0</v>
      </c>
      <c r="AE961" s="10">
        <v>0</v>
      </c>
      <c r="AF961" s="10">
        <v>0</v>
      </c>
      <c r="AG961" s="10">
        <v>0</v>
      </c>
      <c r="AH961" s="10">
        <v>0</v>
      </c>
      <c r="AI961" s="10">
        <v>0</v>
      </c>
      <c r="AJ961" s="10">
        <v>0</v>
      </c>
      <c r="AK961" s="10">
        <v>0</v>
      </c>
      <c r="AL961" s="10">
        <v>0</v>
      </c>
      <c r="AM961" s="10">
        <v>0</v>
      </c>
      <c r="AN961" s="10">
        <v>0</v>
      </c>
      <c r="AO961" s="55">
        <v>0</v>
      </c>
      <c r="AP961" s="10">
        <f>SUM(AD961:AO961)</f>
        <v>0</v>
      </c>
      <c r="AR961" s="33"/>
    </row>
    <row r="962" spans="1:44" ht="13.5" thickBot="1" x14ac:dyDescent="0.35">
      <c r="C962" s="11" t="s">
        <v>163</v>
      </c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AD962" s="12">
        <f>SUM(AD959:AD961)</f>
        <v>0</v>
      </c>
      <c r="AE962" s="12">
        <f>SUM(AE959:AE961)</f>
        <v>0</v>
      </c>
      <c r="AF962" s="12">
        <f t="shared" ref="AF962:AO962" si="557">SUM(AF959:AF961)</f>
        <v>0</v>
      </c>
      <c r="AG962" s="12">
        <f t="shared" si="557"/>
        <v>187.5</v>
      </c>
      <c r="AH962" s="12">
        <f t="shared" si="557"/>
        <v>0</v>
      </c>
      <c r="AI962" s="12">
        <f t="shared" si="557"/>
        <v>0</v>
      </c>
      <c r="AJ962" s="12">
        <f t="shared" si="557"/>
        <v>0</v>
      </c>
      <c r="AK962" s="12">
        <f t="shared" si="557"/>
        <v>0</v>
      </c>
      <c r="AL962" s="12">
        <f t="shared" si="557"/>
        <v>0</v>
      </c>
      <c r="AM962" s="12">
        <f t="shared" si="557"/>
        <v>0</v>
      </c>
      <c r="AN962" s="12">
        <f t="shared" si="557"/>
        <v>0</v>
      </c>
      <c r="AO962" s="57">
        <f t="shared" si="557"/>
        <v>0</v>
      </c>
      <c r="AP962" s="12">
        <f>SUM(AP959:AP961)</f>
        <v>187.5</v>
      </c>
    </row>
    <row r="963" spans="1:44" x14ac:dyDescent="0.3">
      <c r="C963" s="13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</row>
    <row r="964" spans="1:44" ht="15.5" x14ac:dyDescent="0.35">
      <c r="A964" s="1">
        <f>A958+1</f>
        <v>122</v>
      </c>
      <c r="C964" s="22" t="s">
        <v>292</v>
      </c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</row>
    <row r="965" spans="1:44" x14ac:dyDescent="0.3">
      <c r="C965" s="6" t="s">
        <v>7</v>
      </c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AD965" s="10">
        <v>0</v>
      </c>
      <c r="AE965" s="10">
        <v>0</v>
      </c>
      <c r="AF965" s="10">
        <v>0</v>
      </c>
      <c r="AG965" s="10">
        <v>0</v>
      </c>
      <c r="AH965" s="10">
        <v>0</v>
      </c>
      <c r="AI965" s="10">
        <v>0</v>
      </c>
      <c r="AJ965" s="10">
        <v>0</v>
      </c>
      <c r="AK965" s="10">
        <v>0</v>
      </c>
      <c r="AL965" s="10">
        <v>0</v>
      </c>
      <c r="AM965" s="10">
        <v>0</v>
      </c>
      <c r="AN965" s="10">
        <v>0</v>
      </c>
      <c r="AO965" s="55">
        <v>0</v>
      </c>
      <c r="AP965" s="10">
        <f>SUM(AD965:AO965)</f>
        <v>0</v>
      </c>
    </row>
    <row r="966" spans="1:44" x14ac:dyDescent="0.3">
      <c r="C966" s="6" t="s">
        <v>8</v>
      </c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AD966" s="9"/>
      <c r="AE966" s="9"/>
      <c r="AF966" s="9"/>
      <c r="AG966" s="9"/>
      <c r="AH966" s="9">
        <v>166.67</v>
      </c>
      <c r="AI966" s="9"/>
      <c r="AJ966" s="9"/>
      <c r="AK966" s="9"/>
      <c r="AL966" s="9"/>
      <c r="AM966" s="9"/>
      <c r="AN966" s="23"/>
      <c r="AO966" s="56"/>
      <c r="AP966" s="10">
        <f>SUM(AD966:AO966)</f>
        <v>166.67</v>
      </c>
    </row>
    <row r="967" spans="1:44" ht="13.5" thickBot="1" x14ac:dyDescent="0.35">
      <c r="C967" s="6" t="s">
        <v>9</v>
      </c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AD967" s="10">
        <v>0</v>
      </c>
      <c r="AE967" s="10">
        <v>0</v>
      </c>
      <c r="AF967" s="10">
        <v>0</v>
      </c>
      <c r="AG967" s="10">
        <v>0</v>
      </c>
      <c r="AH967" s="10">
        <v>233333.34</v>
      </c>
      <c r="AI967" s="10">
        <v>166666.67000000001</v>
      </c>
      <c r="AJ967" s="10">
        <v>166666.67000000001</v>
      </c>
      <c r="AK967" s="10">
        <v>83333.33</v>
      </c>
      <c r="AL967" s="10">
        <v>125000</v>
      </c>
      <c r="AM967" s="10">
        <v>125000</v>
      </c>
      <c r="AN967" s="10">
        <v>125000</v>
      </c>
      <c r="AO967" s="55">
        <v>125000</v>
      </c>
      <c r="AP967" s="10">
        <f>SUM(AD967:AO967)</f>
        <v>1150000.01</v>
      </c>
      <c r="AR967" s="33"/>
    </row>
    <row r="968" spans="1:44" ht="13.5" thickBot="1" x14ac:dyDescent="0.35">
      <c r="C968" s="11" t="s">
        <v>237</v>
      </c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AD968" s="12">
        <f>SUM(AD965:AD967)</f>
        <v>0</v>
      </c>
      <c r="AE968" s="12">
        <f>SUM(AE965:AE967)</f>
        <v>0</v>
      </c>
      <c r="AF968" s="12">
        <f t="shared" ref="AF968:AO968" si="558">SUM(AF965:AF967)</f>
        <v>0</v>
      </c>
      <c r="AG968" s="12">
        <f t="shared" si="558"/>
        <v>0</v>
      </c>
      <c r="AH968" s="12">
        <f t="shared" si="558"/>
        <v>233500.01</v>
      </c>
      <c r="AI968" s="12">
        <f t="shared" si="558"/>
        <v>166666.67000000001</v>
      </c>
      <c r="AJ968" s="12">
        <f t="shared" si="558"/>
        <v>166666.67000000001</v>
      </c>
      <c r="AK968" s="12">
        <f t="shared" si="558"/>
        <v>83333.33</v>
      </c>
      <c r="AL968" s="12">
        <f t="shared" si="558"/>
        <v>125000</v>
      </c>
      <c r="AM968" s="12">
        <f t="shared" si="558"/>
        <v>125000</v>
      </c>
      <c r="AN968" s="12">
        <f t="shared" si="558"/>
        <v>125000</v>
      </c>
      <c r="AO968" s="57">
        <f t="shared" si="558"/>
        <v>125000</v>
      </c>
      <c r="AP968" s="12">
        <f>SUM(AP965:AP967)</f>
        <v>1150166.68</v>
      </c>
    </row>
    <row r="969" spans="1:44" x14ac:dyDescent="0.3">
      <c r="C969" s="13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</row>
    <row r="970" spans="1:44" ht="15.5" x14ac:dyDescent="0.35">
      <c r="A970" s="1">
        <f>A964+1</f>
        <v>123</v>
      </c>
      <c r="C970" s="22" t="s">
        <v>293</v>
      </c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</row>
    <row r="971" spans="1:44" x14ac:dyDescent="0.3">
      <c r="C971" s="6" t="s">
        <v>7</v>
      </c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AD971" s="10">
        <v>0</v>
      </c>
      <c r="AE971" s="10">
        <v>0</v>
      </c>
      <c r="AF971" s="10">
        <v>0</v>
      </c>
      <c r="AG971" s="10">
        <v>0</v>
      </c>
      <c r="AH971" s="10">
        <v>0</v>
      </c>
      <c r="AI971" s="10">
        <v>0</v>
      </c>
      <c r="AJ971" s="10">
        <v>0</v>
      </c>
      <c r="AK971" s="10">
        <v>0</v>
      </c>
      <c r="AL971" s="10">
        <v>0</v>
      </c>
      <c r="AM971" s="10">
        <v>0</v>
      </c>
      <c r="AN971" s="10">
        <v>0</v>
      </c>
      <c r="AO971" s="55">
        <v>0</v>
      </c>
      <c r="AP971" s="10">
        <f>SUM(AD971:AO971)</f>
        <v>0</v>
      </c>
    </row>
    <row r="972" spans="1:44" x14ac:dyDescent="0.3">
      <c r="C972" s="6" t="s">
        <v>8</v>
      </c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AD972" s="9"/>
      <c r="AE972" s="9"/>
      <c r="AF972" s="9"/>
      <c r="AG972" s="9"/>
      <c r="AH972" s="9">
        <v>166.67</v>
      </c>
      <c r="AI972" s="9"/>
      <c r="AJ972" s="9"/>
      <c r="AK972" s="9"/>
      <c r="AL972" s="9"/>
      <c r="AM972" s="9"/>
      <c r="AN972" s="23"/>
      <c r="AO972" s="56"/>
      <c r="AP972" s="10">
        <f>SUM(AD972:AO972)</f>
        <v>166.67</v>
      </c>
    </row>
    <row r="973" spans="1:44" ht="13.5" thickBot="1" x14ac:dyDescent="0.35">
      <c r="C973" s="6" t="s">
        <v>9</v>
      </c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AD973" s="10">
        <v>0</v>
      </c>
      <c r="AE973" s="10">
        <v>0</v>
      </c>
      <c r="AF973" s="10">
        <v>0</v>
      </c>
      <c r="AG973" s="10">
        <v>0</v>
      </c>
      <c r="AH973" s="10">
        <v>41835.410000000003</v>
      </c>
      <c r="AI973" s="10">
        <v>54384.66</v>
      </c>
      <c r="AJ973" s="10">
        <v>54384.66</v>
      </c>
      <c r="AK973" s="10">
        <v>54384.66</v>
      </c>
      <c r="AL973" s="10">
        <v>54384.66</v>
      </c>
      <c r="AM973" s="10">
        <v>54384.66</v>
      </c>
      <c r="AN973" s="10">
        <v>54384.66</v>
      </c>
      <c r="AO973" s="55">
        <v>54384.66</v>
      </c>
      <c r="AP973" s="10">
        <f>SUM(AD973:AO973)</f>
        <v>422528.03</v>
      </c>
      <c r="AR973" s="33"/>
    </row>
    <row r="974" spans="1:44" ht="13.5" thickBot="1" x14ac:dyDescent="0.35">
      <c r="C974" s="11" t="s">
        <v>294</v>
      </c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AD974" s="12">
        <f>SUM(AD971:AD973)</f>
        <v>0</v>
      </c>
      <c r="AE974" s="12">
        <f>SUM(AE971:AE973)</f>
        <v>0</v>
      </c>
      <c r="AF974" s="12">
        <f t="shared" ref="AF974:AO974" si="559">SUM(AF971:AF973)</f>
        <v>0</v>
      </c>
      <c r="AG974" s="12">
        <f t="shared" si="559"/>
        <v>0</v>
      </c>
      <c r="AH974" s="12">
        <f t="shared" si="559"/>
        <v>42002.080000000002</v>
      </c>
      <c r="AI974" s="12">
        <f t="shared" si="559"/>
        <v>54384.66</v>
      </c>
      <c r="AJ974" s="12">
        <f t="shared" si="559"/>
        <v>54384.66</v>
      </c>
      <c r="AK974" s="12">
        <f t="shared" si="559"/>
        <v>54384.66</v>
      </c>
      <c r="AL974" s="12">
        <f t="shared" si="559"/>
        <v>54384.66</v>
      </c>
      <c r="AM974" s="12">
        <f t="shared" si="559"/>
        <v>54384.66</v>
      </c>
      <c r="AN974" s="12">
        <f t="shared" si="559"/>
        <v>54384.66</v>
      </c>
      <c r="AO974" s="57">
        <f t="shared" si="559"/>
        <v>54384.66</v>
      </c>
      <c r="AP974" s="12">
        <f>SUM(AP971:AP973)</f>
        <v>422694.7</v>
      </c>
    </row>
    <row r="975" spans="1:44" x14ac:dyDescent="0.3">
      <c r="C975" s="13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58"/>
      <c r="AP975" s="30"/>
    </row>
    <row r="976" spans="1:44" ht="15.5" x14ac:dyDescent="0.35">
      <c r="A976" s="1">
        <v>123</v>
      </c>
      <c r="C976" s="22" t="s">
        <v>295</v>
      </c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58"/>
      <c r="AP976" s="30"/>
    </row>
    <row r="977" spans="1:44" x14ac:dyDescent="0.3">
      <c r="C977" s="6" t="s">
        <v>7</v>
      </c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AD977" s="30"/>
      <c r="AE977" s="30"/>
      <c r="AF977" s="30"/>
      <c r="AG977" s="30"/>
      <c r="AH977" s="30"/>
      <c r="AI977" s="34">
        <v>0</v>
      </c>
      <c r="AJ977" s="34">
        <v>0</v>
      </c>
      <c r="AK977" s="34">
        <v>0</v>
      </c>
      <c r="AL977" s="34">
        <v>0</v>
      </c>
      <c r="AM977" s="34">
        <v>0</v>
      </c>
      <c r="AN977" s="34">
        <v>0</v>
      </c>
      <c r="AO977" s="60">
        <v>0</v>
      </c>
      <c r="AP977" s="34">
        <f>SUM(AI977:AO977)</f>
        <v>0</v>
      </c>
    </row>
    <row r="978" spans="1:44" x14ac:dyDescent="0.3">
      <c r="C978" s="6" t="s">
        <v>8</v>
      </c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AD978" s="30"/>
      <c r="AE978" s="30"/>
      <c r="AF978" s="30"/>
      <c r="AG978" s="30"/>
      <c r="AH978" s="30"/>
      <c r="AI978" s="34">
        <v>0</v>
      </c>
      <c r="AJ978" s="34">
        <v>0</v>
      </c>
      <c r="AK978" s="34">
        <v>0</v>
      </c>
      <c r="AL978" s="34">
        <v>0</v>
      </c>
      <c r="AM978" s="34">
        <v>0</v>
      </c>
      <c r="AN978" s="34">
        <v>0</v>
      </c>
      <c r="AO978" s="60">
        <v>0</v>
      </c>
      <c r="AP978" s="34">
        <f>SUM(AI978:AO978)</f>
        <v>0</v>
      </c>
    </row>
    <row r="979" spans="1:44" ht="13.5" thickBot="1" x14ac:dyDescent="0.35">
      <c r="C979" s="6" t="s">
        <v>9</v>
      </c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AD979" s="30"/>
      <c r="AE979" s="30"/>
      <c r="AF979" s="30"/>
      <c r="AG979" s="30"/>
      <c r="AH979" s="30"/>
      <c r="AI979" s="34">
        <v>22660.19</v>
      </c>
      <c r="AJ979" s="34">
        <v>22660.19</v>
      </c>
      <c r="AK979" s="34">
        <v>22660.19</v>
      </c>
      <c r="AL979" s="34">
        <v>22660.19</v>
      </c>
      <c r="AM979" s="34">
        <v>22660.19</v>
      </c>
      <c r="AN979" s="34">
        <v>22660.19</v>
      </c>
      <c r="AO979" s="60">
        <v>22660.19</v>
      </c>
      <c r="AP979" s="34">
        <f>SUM(AI979:AO979)</f>
        <v>158621.32999999999</v>
      </c>
      <c r="AR979" s="33"/>
    </row>
    <row r="980" spans="1:44" ht="13.5" thickBot="1" x14ac:dyDescent="0.35">
      <c r="C980" s="11" t="s">
        <v>296</v>
      </c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AI980" s="12">
        <f>SUM(AI977:AI979)</f>
        <v>22660.19</v>
      </c>
      <c r="AJ980" s="12">
        <f t="shared" ref="AJ980:AP980" si="560">SUM(AJ977:AJ979)</f>
        <v>22660.19</v>
      </c>
      <c r="AK980" s="12">
        <f t="shared" si="560"/>
        <v>22660.19</v>
      </c>
      <c r="AL980" s="12">
        <f t="shared" si="560"/>
        <v>22660.19</v>
      </c>
      <c r="AM980" s="12">
        <f t="shared" si="560"/>
        <v>22660.19</v>
      </c>
      <c r="AN980" s="12">
        <f t="shared" si="560"/>
        <v>22660.19</v>
      </c>
      <c r="AO980" s="57">
        <f t="shared" si="560"/>
        <v>22660.19</v>
      </c>
      <c r="AP980" s="12">
        <f t="shared" si="560"/>
        <v>158621.32999999999</v>
      </c>
    </row>
    <row r="981" spans="1:44" x14ac:dyDescent="0.3">
      <c r="C981" s="13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</row>
    <row r="982" spans="1:44" x14ac:dyDescent="0.3">
      <c r="A982" s="1">
        <v>124</v>
      </c>
      <c r="C982" s="35" t="s">
        <v>297</v>
      </c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</row>
    <row r="983" spans="1:44" x14ac:dyDescent="0.3">
      <c r="C983" s="36" t="s">
        <v>7</v>
      </c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AJ983" s="37">
        <v>0</v>
      </c>
      <c r="AK983" s="37">
        <v>0</v>
      </c>
      <c r="AL983" s="37">
        <v>0</v>
      </c>
      <c r="AM983" s="37">
        <v>0</v>
      </c>
      <c r="AN983" s="41">
        <v>0</v>
      </c>
      <c r="AO983" s="61">
        <v>0</v>
      </c>
      <c r="AP983" s="33">
        <f>SUM(AJ983:AO983)</f>
        <v>0</v>
      </c>
    </row>
    <row r="984" spans="1:44" x14ac:dyDescent="0.3">
      <c r="C984" s="36" t="s">
        <v>8</v>
      </c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AJ984" s="37">
        <v>125</v>
      </c>
      <c r="AK984" s="37">
        <v>0</v>
      </c>
      <c r="AL984" s="37">
        <v>0</v>
      </c>
      <c r="AM984" s="37">
        <v>0</v>
      </c>
      <c r="AN984" s="41">
        <v>0</v>
      </c>
      <c r="AO984" s="61">
        <v>0</v>
      </c>
      <c r="AP984" s="33">
        <f>SUM(AJ984:AO984)</f>
        <v>125</v>
      </c>
    </row>
    <row r="985" spans="1:44" ht="13.5" thickBot="1" x14ac:dyDescent="0.35">
      <c r="C985" s="36" t="s">
        <v>9</v>
      </c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AJ985" s="37">
        <v>0</v>
      </c>
      <c r="AK985" s="37">
        <v>0</v>
      </c>
      <c r="AL985" s="37">
        <v>0</v>
      </c>
      <c r="AM985" s="37">
        <v>0</v>
      </c>
      <c r="AN985" s="41">
        <v>0</v>
      </c>
      <c r="AO985" s="61">
        <v>57201.3</v>
      </c>
      <c r="AP985" s="33">
        <f>SUM(AJ985:AO985)</f>
        <v>57201.3</v>
      </c>
    </row>
    <row r="986" spans="1:44" ht="13.5" thickBot="1" x14ac:dyDescent="0.35">
      <c r="C986" s="38" t="s">
        <v>298</v>
      </c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AJ986" s="39">
        <f t="shared" ref="AJ986:AP986" si="561">SUM(AJ983:AJ985)</f>
        <v>125</v>
      </c>
      <c r="AK986" s="39">
        <f t="shared" si="561"/>
        <v>0</v>
      </c>
      <c r="AL986" s="39">
        <f t="shared" si="561"/>
        <v>0</v>
      </c>
      <c r="AM986" s="39">
        <f t="shared" si="561"/>
        <v>0</v>
      </c>
      <c r="AN986" s="39">
        <f t="shared" si="561"/>
        <v>0</v>
      </c>
      <c r="AO986" s="62">
        <f t="shared" si="561"/>
        <v>57201.3</v>
      </c>
      <c r="AP986" s="40">
        <f t="shared" si="561"/>
        <v>57326.3</v>
      </c>
    </row>
    <row r="987" spans="1:44" x14ac:dyDescent="0.3">
      <c r="C987" s="13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</row>
    <row r="988" spans="1:44" x14ac:dyDescent="0.3">
      <c r="A988" s="1">
        <v>125</v>
      </c>
      <c r="C988" s="35" t="s">
        <v>299</v>
      </c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</row>
    <row r="989" spans="1:44" x14ac:dyDescent="0.3">
      <c r="C989" s="36" t="s">
        <v>7</v>
      </c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AJ989" s="33">
        <v>0</v>
      </c>
      <c r="AK989" s="33">
        <v>0</v>
      </c>
      <c r="AL989" s="33">
        <v>0</v>
      </c>
      <c r="AM989" s="33">
        <v>0</v>
      </c>
      <c r="AN989" s="33">
        <v>0</v>
      </c>
      <c r="AO989" s="59">
        <v>0</v>
      </c>
      <c r="AP989" s="33">
        <f>SUM(AJ989:AO989)</f>
        <v>0</v>
      </c>
    </row>
    <row r="990" spans="1:44" x14ac:dyDescent="0.3">
      <c r="C990" s="36" t="s">
        <v>8</v>
      </c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AJ990" s="33">
        <v>125</v>
      </c>
      <c r="AK990" s="33">
        <v>0</v>
      </c>
      <c r="AL990" s="33">
        <v>0</v>
      </c>
      <c r="AM990" s="33">
        <v>0</v>
      </c>
      <c r="AN990" s="33">
        <v>0</v>
      </c>
      <c r="AO990" s="59">
        <v>0</v>
      </c>
      <c r="AP990" s="33">
        <f>SUM(AJ990:AO990)</f>
        <v>125</v>
      </c>
    </row>
    <row r="991" spans="1:44" ht="13.5" thickBot="1" x14ac:dyDescent="0.35">
      <c r="C991" s="36" t="s">
        <v>9</v>
      </c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AJ991" s="41">
        <v>32938.06</v>
      </c>
      <c r="AK991" s="33">
        <v>30813.02</v>
      </c>
      <c r="AL991" s="33">
        <v>32938.06</v>
      </c>
      <c r="AM991" s="33">
        <v>31875.54</v>
      </c>
      <c r="AN991" s="33">
        <v>32938.06</v>
      </c>
      <c r="AO991" s="59">
        <v>31875.54</v>
      </c>
      <c r="AP991" s="33">
        <f>SUM(AJ991:AO991)</f>
        <v>193378.28</v>
      </c>
      <c r="AR991" s="33"/>
    </row>
    <row r="992" spans="1:44" ht="13.5" thickBot="1" x14ac:dyDescent="0.35">
      <c r="C992" s="38" t="s">
        <v>300</v>
      </c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AJ992" s="40">
        <f>SUM(AJ989:AJ991)</f>
        <v>33063.06</v>
      </c>
      <c r="AK992" s="40">
        <f t="shared" ref="AK992:AP992" si="562">SUM(AK989:AK991)</f>
        <v>30813.02</v>
      </c>
      <c r="AL992" s="40">
        <f t="shared" si="562"/>
        <v>32938.06</v>
      </c>
      <c r="AM992" s="40">
        <f t="shared" si="562"/>
        <v>31875.54</v>
      </c>
      <c r="AN992" s="40">
        <f t="shared" si="562"/>
        <v>32938.06</v>
      </c>
      <c r="AO992" s="63">
        <f t="shared" si="562"/>
        <v>31875.54</v>
      </c>
      <c r="AP992" s="40">
        <f t="shared" si="562"/>
        <v>193503.28</v>
      </c>
    </row>
    <row r="993" spans="2:42" x14ac:dyDescent="0.3">
      <c r="C993" s="13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</row>
    <row r="994" spans="2:42" ht="15.5" x14ac:dyDescent="0.35">
      <c r="C994" s="22" t="s">
        <v>301</v>
      </c>
    </row>
    <row r="995" spans="2:42" ht="15.5" x14ac:dyDescent="0.35">
      <c r="C995" s="6" t="s">
        <v>302</v>
      </c>
      <c r="D995" s="42">
        <f t="shared" ref="D995:O998" si="563">SUM(D5,D11,D17,D23)+SUM(D29,D35,D41,D47,D53,D59,D65,D71,D77)+SUM(D83,D89,D95,D101,D107,D113,D119,D125,D131,D137,D143,D149,D155,D161,D167,D173)+SUM(D179,D185,D191,D197,D203,D209,D215,D221,D227,D233,D239,D245,D251,D257,D263,D269)+SUM(D275,D281,D287,D293,D299,D305,D311,D317,D323,D329,D335,D341,D347,D353,D359,D365,D371,D377,D383,D389)+SUM(D395,D401,D407,D413,D419,D425,D431,D437,D443,D449,D455,D461,D467,D473,D479,D485,D491,D497,D503,D509,D515,D521,D527,D533,D539,D545,D551,D557)+SUM(D563,D569,D575,D581,D587,D593,D599,D605,D611,D617,D623,D629,D635,D641,D647,D653,D659,D665,D671,D677,D683,D689,D695,D701,D707,D713,D719,D725,D731,D737)+SUM(D743,D749,D755,D761,D767,D773,D779,D785,D791,D797,D803,D809,D815,D821)+SUM(D827,D833,D839,D845,D851,D857)</f>
        <v>39954.819999999992</v>
      </c>
      <c r="E995" s="42">
        <f t="shared" si="563"/>
        <v>41726.149999999994</v>
      </c>
      <c r="F995" s="42">
        <f t="shared" si="563"/>
        <v>41726.149999999994</v>
      </c>
      <c r="G995" s="42">
        <f t="shared" si="563"/>
        <v>41501.979999999996</v>
      </c>
      <c r="H995" s="42">
        <f t="shared" si="563"/>
        <v>47325.549999999996</v>
      </c>
      <c r="I995" s="42">
        <f t="shared" si="563"/>
        <v>46460.549999999996</v>
      </c>
      <c r="J995" s="42">
        <f t="shared" si="563"/>
        <v>46321.409999999996</v>
      </c>
      <c r="K995" s="42">
        <f t="shared" si="563"/>
        <v>46641.369999999995</v>
      </c>
      <c r="L995" s="42">
        <f t="shared" si="563"/>
        <v>49477.700000000004</v>
      </c>
      <c r="M995" s="42">
        <f t="shared" si="563"/>
        <v>49396.19000000001</v>
      </c>
      <c r="N995" s="42">
        <f t="shared" si="563"/>
        <v>49325.340000000004</v>
      </c>
      <c r="O995" s="42">
        <f t="shared" si="563"/>
        <v>48434.840000000004</v>
      </c>
      <c r="P995" s="42">
        <f>SUM(D995:O995)</f>
        <v>548292.04999999993</v>
      </c>
      <c r="Q995" s="42">
        <f>SUM(Q5,Q11,Q17,Q23)+SUM(Q29,Q35,Q41,Q47,Q53,Q59,Q65,Q71,Q77)+SUM(Q83,Q89,Q95,Q101,Q107,Q113,Q119,Q125,Q131,Q137,Q143,Q149,Q155,Q161,Q167,Q173)+SUM(Q179,Q185,Q191,Q197,Q203,Q209,Q215,Q221,Q227,Q233,Q239,Q245,Q251,Q257,Q263,Q269)+SUM(Q275,Q281,Q287,Q293,Q299,Q305,Q311,Q317,Q323,Q329,Q335,Q341,Q347,Q353,Q359,Q365,Q371,Q377,Q383,Q389)+SUM(Q395,Q401,Q407,Q413,Q419,Q425,Q431,Q437,Q443,Q449,Q455,Q461,Q467,Q473,Q479,Q485,Q491,Q497,Q503,Q509,Q515,Q521,Q527,Q533,Q539,Q545,Q551,Q557)+SUM(Q563,Q569,Q575,Q581,Q587,Q593,Q599,Q605,Q611,Q617,Q623,Q629,Q635,Q641,Q647,Q653,Q659,Q665,Q671,Q677,Q683,Q689,Q695,Q701,Q707,Q713,Q719,Q725,Q731,Q737)+SUM(Q743,Q749,Q755,Q761,Q767,Q773,Q779,Q785,Q791,Q797,Q803,Q809,Q815,Q821)+SUM(Q827,Q833,Q839,Q845,Q851,Q857,Q863,Q869,Q875,Q881,Q887,Q893,Q899,Q905,Q911,Q917,Q923,Q929)</f>
        <v>48230.68</v>
      </c>
      <c r="R995" s="42">
        <f t="shared" ref="R995:AB998" si="564">SUM(R5,R11,R17,R23)+SUM(R29,R35,R41,R47,R53,R59,R65,R71,R77)+SUM(R83,R89,R95,R101,R107,R113,R119,R125,R131,R137,R143,R149,R155,R161,R167,R173)+SUM(R179,R185,R191,R197,R203,R209,R215,R221,R227,R233,R239,R245,R251,R257,R263,R269)+SUM(R275,R281,R287,R293,R299,R305,R311,R317,R323,R329,R335,R341,R347,R353,R359,R365,R371,R377,R383,R389)+SUM(R395,R401,R407,R413,R419,R425,R431,R437,R443,R449,R455,R461,R467,R473,R479,R485,R491,R497,R503,R509,R515,R521,R527,R533,R539,R545,R551,R557)+SUM(R563,R569,R575,R581,R587,R593,R599,R605,R611,R617,R623,R629,R635,R641,R647,R653,R659,R665,R671,R677,R683,R689,R695,R701,R707,R713,R719,R725,R731,R737)+SUM(R743,R749,R755,R761,R767,R773,R779,R785,R791,R797,R803,R809,R815,R821)+SUM(R827,R833,R839,R845,R851,R857,R863,R869,R875,R881,R887,R893,R899,R905,R911,R917,R923,R929)</f>
        <v>48208.18</v>
      </c>
      <c r="S995" s="42">
        <f t="shared" si="564"/>
        <v>48980.43</v>
      </c>
      <c r="T995" s="42">
        <f t="shared" si="564"/>
        <v>48742.93</v>
      </c>
      <c r="U995" s="42">
        <f t="shared" si="564"/>
        <v>48690.43</v>
      </c>
      <c r="V995" s="42">
        <f t="shared" si="564"/>
        <v>51458.73</v>
      </c>
      <c r="W995" s="42">
        <f t="shared" si="564"/>
        <v>49873.46</v>
      </c>
      <c r="X995" s="42">
        <f t="shared" si="564"/>
        <v>49540.409999999996</v>
      </c>
      <c r="Y995" s="42">
        <f t="shared" si="564"/>
        <v>49389.999999999993</v>
      </c>
      <c r="Z995" s="42">
        <f t="shared" si="564"/>
        <v>52755.33</v>
      </c>
      <c r="AA995" s="42">
        <f t="shared" si="564"/>
        <v>52665.760000000002</v>
      </c>
      <c r="AB995" s="42">
        <f t="shared" si="564"/>
        <v>52572.41</v>
      </c>
      <c r="AC995" s="42">
        <f>SUM(Q995:AB995)</f>
        <v>601108.75</v>
      </c>
      <c r="AD995" s="42">
        <f t="shared" ref="AD995:AH998" si="565">SUM(AD5,AD11,AD17,AD23)+SUM(AD29,AD35,AD41,AD47,AD53,AD59,AD65,AD71,AD77)+SUM(AD83,AD89,AD95,AD101,AD107,AD113,AD119,AD125,AD131,AD137,AD143,AD149,AD155,AD161,AD167,AD173)+SUM(AD179,AD185,AD191,AD197,AD203,AD209,AD215,AD221,AD227,AD233,AD239,AD245,AD251,AD257,AD263,AD269)+SUM(AD275,AD281,AD287,AD293,AD299,AD305,AD311,AD317,AD323,AD329,AD335,AD341,AD347,AD353,AD359,AD365,AD371,AD377,AD383,AD389)+SUM(AD395,AD401,AD407,AD413,AD419,AD425,AD431,AD437,AD443,AD449,AD455,AD461,AD467,AD473,AD479,AD485,AD491,AD497,AD503,AD509,AD515,AD521,AD527,AD533,AD539,AD545,AD551,AD557)+SUM(AD563,AD569,AD575,AD581,AD587,AD593,AD599,AD605,AD611,AD617,AD623,AD629,AD635,AD641,AD647,AD653,AD659,AD665,AD671,AD677,AD683,AD689,AD695,AD701,AD707,AD713,AD719,AD725,AD731,AD737)+SUM(AD743,AD749,AD755,AD761,AD767,AD773,AD779,AD785,AD791,AD797,AD803,AD809,AD815,AD821)+SUM(AD827,AD833,AD839,AD845,AD851,AD857,AD863,AD869,AD875,AD881,AD887,AD893,AD899,AD905,AD911,AD917,AD923,AD929,AD935,AD941,AD947,AD959,AD965,AD971)</f>
        <v>52151.98</v>
      </c>
      <c r="AE995" s="42">
        <f t="shared" si="565"/>
        <v>52128.65</v>
      </c>
      <c r="AF995" s="42">
        <f t="shared" si="565"/>
        <v>52628.01</v>
      </c>
      <c r="AG995" s="42">
        <f t="shared" si="565"/>
        <v>52550.92</v>
      </c>
      <c r="AH995" s="42">
        <f t="shared" si="565"/>
        <v>52380.75</v>
      </c>
      <c r="AI995" s="42">
        <f>SUM(AI5,AI11,AI17,AI23)+SUM(AI29,AI35,AI41,AI47,AI53,AI59,AI65,AI71,AI77)+SUM(AI83,AI89,AI95,AI101,AI107,AI113,AI119,AI125,AI131,AI137,AI143,AI149,AI155,AI161,AI167,AI173)+SUM(AI179,AI185,AI191,AI197,AI203,AI209,AI215,AI221,AI227,AI233,AI239,AI245,AI251,AI257,AI263,AI269)+SUM(AI275,AI281,AI287,AI293,AI299,AI305,AI311,AI317,AI323,AI329,AI335,AI341,AI347,AI353,AI359,AI365,AI371,AI377,AI383,AI389)+SUM(AI395,AI401,AI407,AI413,AI419,AI425,AI431,AI437,AI443,AI449,AI455,AI461,AI467,AI473,AI479,AI485,AI491,AI497,AI503,AI509,AI515,AI521,AI527,AI533,AI539,AI545,AI551,AI557)+SUM(AI563,AI569,AI575,AI581,AI587,AI593,AI599,AI605,AI611,AI617,AI623,AI629,AI635,AI641,AI647,AI653,AI659,AI665,AI671,AI677,AI683,AI689,AI695,AI701,AI707,AI713,AI719,AI725,AI731,AI737)+SUM(AI743,AI749,AI755,AI761,AI767,AI773,AI779,AI785,AI791,AI797,AI803,AI809,AI815,AI821)+SUM(AI827,AI833,AI839,AI845,AI851,AI857,AI863,AI869,AI875,AI881,AI887,AI893,AI899,AI905,AI911,AI917,AI923,AI929,AI935,AI941,AI947,AI959,AI965,AI971,AI977)</f>
        <v>52374.5</v>
      </c>
      <c r="AJ995" s="42">
        <f t="shared" ref="AJ995:AM998" si="566">SUM(AJ5,AJ11,AJ17,AJ23)+SUM(AJ29,AJ35,AJ41,AJ47,AJ53,AJ59,AJ65,AJ71,AJ77)+SUM(AJ83,AJ89,AJ95,AJ101,AJ107,AJ113,AJ119,AJ125,AJ131,AJ137,AJ143,AJ149,AJ155,AJ161,AJ167,AJ173)+SUM(AJ179,AJ185,AJ191,AJ197,AJ203,AJ209,AJ215,AJ221,AJ227,AJ233,AJ239,AJ245,AJ251,AJ257,AJ263,AJ269)+SUM(AJ275,AJ281,AJ287,AJ293,AJ299,AJ305,AJ311,AJ317,AJ323,AJ329,AJ335,AJ341,AJ347,AJ353,AJ359,AJ365,AJ371,AJ377,AJ383,AJ389)+SUM(AJ395,AJ401,AJ407,AJ413,AJ419,AJ425,AJ431,AJ437,AJ443,AJ449,AJ455,AJ461,AJ467,AJ473,AJ479,AJ485,AJ491,AJ497,AJ503,AJ509,AJ515,AJ521,AJ527,AJ533,AJ539,AJ545,AJ551,AJ557)+SUM(AJ563,AJ569,AJ575,AJ581,AJ587,AJ593,AJ599,AJ605,AJ611,AJ617,AJ623,AJ629,AJ635,AJ641,AJ647,AJ653,AJ659,AJ665,AJ671,AJ677,AJ683,AJ689,AJ695,AJ701,AJ707,AJ713,AJ719,AJ725,AJ731,AJ737)+SUM(AJ743,AJ749,AJ755,AJ761,AJ767,AJ773,AJ779,AJ785,AJ791,AJ797,AJ803,AJ809,AJ815,AJ821)+SUM(AJ827,AJ833,AJ839,AJ845,AJ851,AJ857,AJ863,AJ869,AJ875,AJ881,AJ887,AJ893,AJ899,AJ905,AJ911,AJ917,AJ923,AJ929,AJ935,AJ941,AJ947,AJ959,AJ965,AJ971,AJ977,AJ983,AJ989)</f>
        <v>52228.23</v>
      </c>
      <c r="AK995" s="42">
        <f t="shared" si="566"/>
        <v>52110.729999999996</v>
      </c>
      <c r="AL995" s="42">
        <f t="shared" si="566"/>
        <v>50662.879999999997</v>
      </c>
      <c r="AM995" s="42">
        <f t="shared" si="566"/>
        <v>51618.720000000001</v>
      </c>
      <c r="AN995" s="42">
        <f>SUM(AN5,AN11,AN17,AN23)+SUM(AN29,AN35,AN41,AN47,AN53,AN59,AN65,AN71,AN77)+SUM(AN83,AN89,AN95,AN101,AN107,AN113,AN119,AN125,AN131,AN137,AN143,AN149,AN155,AN161,AN167,AN173)+SUM(AN179,AN185,AN191,AN197,AN203,AN209,AN215,AN221,AN227,AN233,AN239,AN245,AN251,AN257,AN263,AN269)+SUM(AN275,AN281,AN287,AN293,AN299,AN305,AN311,AN317,AN323,AN329,AN335,AN341,AN347,AN353,AN359,AN365,AN371,AN377,AN383,AN389)+SUM(AN395,AN401,AN407,AN413,AN419,AN425,AN431,AN437,AN443,AN449,AN455,AN461,AN467,AN473,AN479,AN485,AN491,AN497,AN503,AN509,AN515,AN521,AN527,AN533,AN539,AN545,AN551,AN557)+SUM(AN563,AN569,AN575,AN581,AN587,AN593,AN599,AN605,AN611,AN617,AN623,AN629,AN635,AN641,AN647,AN653,AN659,AN665,AN671,AN677,AN683,AN689,AN695,AN701,AN707,AN713,AN719,AN725,AN731,AN737)+SUM(AN743,AN749,AN755,AN761,AN767,AN773,AN779,AN785,AN791,AN797,AN803,AN809,AN815,AN821)+SUM(AN827,AN833,AN839,AN845,AN851,AN857,AN863,AN869,AN875,AN881,AN887,AN893,AN899,AN905,AN911,AN917,AN923,AN929,AN935,AN941,AN947,AN959,AN965,AN971,AN977,AN983,AN989,AN953)</f>
        <v>51494.14</v>
      </c>
      <c r="AO995" s="64">
        <f>SUM(AO5,AO11,AO17,AO23)+SUM(AO29,AO35,AO41,AO47,AO53,AO59,AO65,AO71,AO77)+SUM(AO83,AO89,AO95,AO101,AO107,AO113,AO119,AO125,AO131,AO137,AO143,AO149,AO155,AO161,AO167,AO173)+SUM(AO179,AO185,AO191,AO197,AO203,AO209,AO215,AO221,AO227,AO233,AO239,AO245,AO251,AO257,AO263,AO269)+SUM(AO275,AO281,AO287,AO293,AO299,AO305,AO311,AO317,AO323,AO329,AO335,AO341,AO347,AO353,AO359,AO365,AO371,AO377,AO383,AO389)+SUM(AO395,AO401,AO407,AO413,AO419,AO425,AO431,AO437,AO443,AO449,AO455,AO461,AO467,AO473,AO479,AO485,AO491,AO497,AO503,AO509,AO515,AO521,AO527,AO533,AO539,AO545,AO551,AO557)+SUM(AO563,AO569,AO575,AO581,AO587,AO593,AO599,AO605,AO611,AO617,AO623,AO629,AO635,AO641,AO647,AO653,AO659,AO665,AO671,AO677,AO683,AO689,AO695,AO701,AO707,AO713,AO719,AO725,AO731,AO737)+SUM(AO743,AO749,AO755,AO761,AO767,AO773,AO779,AO785,AO791,AO797,AO803,AO809,AO815,AO821)+SUM(AO827,AO833,AO839,AO845,AO851,AO857,AO863,AO869,AO875,AO881,AO887,AO893,AO899,AO905,AO911,AO917,AO923,AO929,AO935,AO941,AO947,AO959,AO965,AO971,AO977,AO983,AO989)</f>
        <v>51375.81</v>
      </c>
      <c r="AP995" s="42">
        <f>SUM(AD995:AO995)</f>
        <v>623705.32000000007</v>
      </c>
    </row>
    <row r="996" spans="2:42" ht="15.5" x14ac:dyDescent="0.35">
      <c r="C996" s="6" t="s">
        <v>303</v>
      </c>
      <c r="D996" s="42">
        <f t="shared" si="563"/>
        <v>28354.17</v>
      </c>
      <c r="E996" s="42">
        <f t="shared" si="563"/>
        <v>229.17</v>
      </c>
      <c r="F996" s="42">
        <f t="shared" si="563"/>
        <v>0</v>
      </c>
      <c r="G996" s="42">
        <f t="shared" si="563"/>
        <v>187.5</v>
      </c>
      <c r="H996" s="42">
        <f t="shared" si="563"/>
        <v>666.68</v>
      </c>
      <c r="I996" s="42">
        <f t="shared" si="563"/>
        <v>0</v>
      </c>
      <c r="J996" s="42">
        <f t="shared" si="563"/>
        <v>375</v>
      </c>
      <c r="K996" s="42">
        <f t="shared" si="563"/>
        <v>208.34</v>
      </c>
      <c r="L996" s="42">
        <f t="shared" si="563"/>
        <v>83.33</v>
      </c>
      <c r="M996" s="42">
        <f t="shared" si="563"/>
        <v>62.5</v>
      </c>
      <c r="N996" s="42">
        <f t="shared" si="563"/>
        <v>208.35000000000002</v>
      </c>
      <c r="O996" s="42">
        <f t="shared" si="563"/>
        <v>62.489999999999995</v>
      </c>
      <c r="P996" s="42">
        <f>SUM(D996:O996)</f>
        <v>30437.53</v>
      </c>
      <c r="Q996" s="42">
        <f>SUM(Q6,Q12,Q18,Q24)+SUM(Q30,Q36,Q42,Q48,Q54,Q60,Q66,Q72,Q78)+SUM(Q84,Q90,Q96,Q102,Q108,Q114,Q120,Q126,Q132,Q138,Q144,Q150,Q156,Q162,Q168,Q174)+SUM(Q180,Q186,Q192,Q198,Q204,Q210,Q216,Q222,Q228,Q234,Q240,Q246,Q252,Q258,Q264,Q270)+SUM(Q276,Q282,Q288,Q294,Q300,Q306,Q312,Q318,Q324,Q330,Q336,Q342,Q348,Q354,Q360,Q366,Q372,Q378,Q384,Q390)+SUM(Q396,Q402,Q408,Q414,Q420,Q426,Q432,Q438,Q444,Q450,Q456,Q462,Q468,Q474,Q480,Q486,Q492,Q498,Q504,Q510,Q516,Q522,Q528,Q534,Q540,Q546,Q552,Q558)+SUM(Q564,Q570,Q576,Q582,Q588,Q594,Q600,Q606,Q612,Q618,Q624,Q630,Q636,Q642,Q648,Q654,Q660,Q666,Q672,Q678,Q684,Q690,Q696,Q702,Q708,Q714,Q720,Q726,Q732,Q738)+SUM(Q744,Q750,Q756,Q762,Q768,Q774,Q780,Q786,Q792,Q798,Q804,Q810,Q816,Q822)+SUM(Q828,Q834,Q840,Q846,Q852,Q858,Q864,Q870,Q876,Q882,Q888,Q894,Q900,Q906,Q912,Q918,Q924,Q930)</f>
        <v>28750</v>
      </c>
      <c r="R996" s="42">
        <f t="shared" si="564"/>
        <v>0</v>
      </c>
      <c r="S996" s="42">
        <f t="shared" si="564"/>
        <v>833.32</v>
      </c>
      <c r="T996" s="42">
        <f t="shared" si="564"/>
        <v>0</v>
      </c>
      <c r="U996" s="42">
        <f t="shared" si="564"/>
        <v>0</v>
      </c>
      <c r="V996" s="42">
        <f t="shared" si="564"/>
        <v>437.49</v>
      </c>
      <c r="W996" s="42">
        <f t="shared" si="564"/>
        <v>0</v>
      </c>
      <c r="X996" s="42">
        <f t="shared" si="564"/>
        <v>0</v>
      </c>
      <c r="Y996" s="42">
        <f t="shared" si="564"/>
        <v>0</v>
      </c>
      <c r="Z996" s="42">
        <f t="shared" si="564"/>
        <v>62.5</v>
      </c>
      <c r="AA996" s="42">
        <f t="shared" si="564"/>
        <v>0</v>
      </c>
      <c r="AB996" s="42">
        <f t="shared" si="564"/>
        <v>20.83</v>
      </c>
      <c r="AC996" s="42">
        <f>SUM(Q996:AB996)</f>
        <v>30104.140000000003</v>
      </c>
      <c r="AD996" s="42">
        <f t="shared" si="565"/>
        <v>29500</v>
      </c>
      <c r="AE996" s="42">
        <f t="shared" si="565"/>
        <v>0</v>
      </c>
      <c r="AF996" s="42">
        <f t="shared" si="565"/>
        <v>208.33</v>
      </c>
      <c r="AG996" s="42">
        <f t="shared" si="565"/>
        <v>562.5</v>
      </c>
      <c r="AH996" s="42">
        <f t="shared" si="565"/>
        <v>333.34</v>
      </c>
      <c r="AI996" s="42">
        <f>SUM(AI6,AI12,AI18,AI24)+SUM(AI30,AI36,AI42,AI48,AI54,AI60,AI66,AI72,AI78)+SUM(AI84,AI90,AI96,AI102,AI108,AI114,AI120,AI126,AI132,AI138,AI144,AI150,AI156,AI162,AI168,AI174)+SUM(AI180,AI186,AI192,AI198,AI204,AI210,AI216,AI222,AI228,AI234,AI240,AI246,AI252,AI258,AI264,AI270)+SUM(AI276,AI282,AI288,AI294,AI300,AI306,AI312,AI318,AI324,AI330,AI336,AI342,AI348,AI354,AI360,AI366,AI372,AI378,AI384,AI390)+SUM(AI396,AI402,AI408,AI414,AI420,AI426,AI432,AI438,AI444,AI450,AI456,AI462,AI468,AI474,AI480,AI486,AI492,AI498,AI504,AI510,AI516,AI522,AI528,AI534,AI540,AI546,AI552,AI558)+SUM(AI564,AI570,AI576,AI582,AI588,AI594,AI600,AI606,AI612,AI618,AI624,AI630,AI636,AI642,AI648,AI654,AI660,AI666,AI672,AI678,AI684,AI690,AI696,AI702,AI708,AI714,AI720,AI726,AI732,AI738)+SUM(AI744,AI750,AI756,AI762,AI768,AI774,AI780,AI786,AI792,AI798,AI804,AI810,AI816,AI822)+SUM(AI828,AI834,AI840,AI846,AI852,AI858,AI864,AI870,AI876,AI882,AI888,AI894,AI900,AI906,AI912,AI918,AI924,AI930,AI936,AI942,AI948,AI960,AI966,AI972,AI978)</f>
        <v>0</v>
      </c>
      <c r="AJ996" s="42">
        <f t="shared" si="566"/>
        <v>250</v>
      </c>
      <c r="AK996" s="42">
        <f t="shared" si="566"/>
        <v>0</v>
      </c>
      <c r="AL996" s="42">
        <f t="shared" si="566"/>
        <v>0</v>
      </c>
      <c r="AM996" s="42">
        <f t="shared" si="566"/>
        <v>0</v>
      </c>
      <c r="AN996" s="42">
        <f>SUM(AN6,AN12,AN18,AN24)+SUM(AN30,AN36,AN42,AN48,AN54,AN60,AN66,AN72,AN78)+SUM(AN84,AN90,AN96,AN102,AN108,AN114,AN120,AN126,AN132,AN138,AN144,AN150,AN156,AN162,AN168,AN174)+SUM(AN180,AN186,AN192,AN198,AN204,AN210,AN216,AN222,AN228,AN234,AN240,AN246,AN252,AN258,AN264,AN270)+SUM(AN276,AN282,AN288,AN294,AN300,AN306,AN312,AN318,AN324,AN330,AN336,AN342,AN348,AN354,AN360,AN366,AN372,AN378,AN384,AN390)+SUM(AN396,AN402,AN408,AN414,AN420,AN426,AN432,AN438,AN444,AN450,AN456,AN462,AN468,AN474,AN480,AN486,AN492,AN498,AN504,AN510,AN516,AN522,AN528,AN534,AN540,AN546,AN552,AN558)+SUM(AN564,AN570,AN576,AN582,AN588,AN594,AN600,AN606,AN612,AN618,AN624,AN630,AN636,AN642,AN648,AN654,AN660,AN666,AN672,AN678,AN684,AN690,AN696,AN702,AN708,AN714,AN720,AN726,AN732,AN738)+SUM(AN744,AN750,AN756,AN762,AN768,AN774,AN780,AN786,AN792,AN798,AN804,AN810,AN816,AN822)+SUM(AN828,AN834,AN840,AN846,AN852,AN858,AN864,AN870,AN876,AN882,AN888,AN894,AN900,AN906,AN912,AN918,AN924,AN930,AN936,AN942,AN948,AN960,AN966,AN972,AN978,AN984,AN990,AN954)</f>
        <v>83.33</v>
      </c>
      <c r="AO996" s="64">
        <f>SUM(AO6,AO12,AO18,AO24)+SUM(AO30,AO36,AO42,AO48,AO54,AO60,AO66,AO72,AO78)+SUM(AO84,AO90,AO96,AO102,AO108,AO114,AO120,AO126,AO132,AO138,AO144,AO150,AO156,AO162,AO168,AO174)+SUM(AO180,AO186,AO192,AO198,AO204,AO210,AO216,AO222,AO228,AO234,AO240,AO246,AO252,AO258,AO264,AO270)+SUM(AO276,AO282,AO288,AO294,AO300,AO306,AO312,AO318,AO324,AO330,AO336,AO342,AO348,AO354,AO360,AO366,AO372,AO378,AO384,AO390)+SUM(AO396,AO402,AO408,AO414,AO420,AO426,AO432,AO438,AO444,AO450,AO456,AO462,AO468,AO474,AO480,AO486,AO492,AO498,AO504,AO510,AO516,AO522,AO528,AO534,AO540,AO546,AO552,AO558)+SUM(AO564,AO570,AO576,AO582,AO588,AO594,AO600,AO606,AO612,AO618,AO624,AO630,AO636,AO642,AO648,AO654,AO660,AO666,AO672,AO678,AO684,AO690,AO696,AO702,AO708,AO714,AO720,AO726,AO732,AO738)+SUM(AO744,AO750,AO756,AO762,AO768,AO774,AO780,AO786,AO792,AO798,AO804,AO810,AO816,AO822)+SUM(AO828,AO834,AO840,AO846,AO852,AO858,AO864,AO870,AO876,AO882,AO888,AO894,AO900,AO906,AO912,AO918,AO924,AO930,AO936,AO942,AO948,AO960,AO966,AO972,AO978,AO984,AO990)</f>
        <v>0</v>
      </c>
      <c r="AP996" s="42">
        <f>SUM(AD996:AO996)</f>
        <v>30937.500000000004</v>
      </c>
    </row>
    <row r="997" spans="2:42" ht="15.5" x14ac:dyDescent="0.35">
      <c r="C997" s="6" t="s">
        <v>304</v>
      </c>
      <c r="D997" s="42">
        <f t="shared" si="563"/>
        <v>7790137.3010000009</v>
      </c>
      <c r="E997" s="42">
        <f t="shared" si="563"/>
        <v>7884266.5700000003</v>
      </c>
      <c r="F997" s="42">
        <f t="shared" si="563"/>
        <v>7892888.8200000003</v>
      </c>
      <c r="G997" s="42">
        <f t="shared" si="563"/>
        <v>7650722.3599999985</v>
      </c>
      <c r="H997" s="42">
        <f t="shared" si="563"/>
        <v>7927485.3799999999</v>
      </c>
      <c r="I997" s="42">
        <f t="shared" si="563"/>
        <v>7878450.2400000002</v>
      </c>
      <c r="J997" s="42">
        <f t="shared" si="563"/>
        <v>8051033.0999999996</v>
      </c>
      <c r="K997" s="42">
        <f t="shared" si="563"/>
        <v>8093433.8799999999</v>
      </c>
      <c r="L997" s="42">
        <f t="shared" si="563"/>
        <v>8081384.6699999999</v>
      </c>
      <c r="M997" s="42">
        <f t="shared" si="563"/>
        <v>8073667.0900000008</v>
      </c>
      <c r="N997" s="42">
        <f t="shared" si="563"/>
        <v>8147825.6099999994</v>
      </c>
      <c r="O997" s="42">
        <f t="shared" si="563"/>
        <v>8435747.0199999996</v>
      </c>
      <c r="P997" s="42">
        <f>SUM(D997:O997)</f>
        <v>95907042.041000009</v>
      </c>
      <c r="Q997" s="42">
        <f>SUM(Q7,Q13,Q19,Q25)+SUM(Q31,Q37,Q43,Q49,Q55,Q61,Q67,Q73,Q79)+SUM(Q85,Q91,Q97,Q103,Q109,Q115,Q121,Q127,Q133,Q139,Q145,Q151,Q157,Q163,Q169,Q175)+SUM(Q181,Q187,Q193,Q199,Q205,Q211,Q217,Q223,Q229,Q235,Q241,Q247,Q253,Q259,Q265,Q271)+SUM(Q277,Q283,Q289,Q295,Q301,Q307,Q313,Q319,Q325,Q331,Q337,Q343,Q349,Q355,Q361,Q367,Q373,Q379,Q385,Q391)+SUM(Q397,Q403,Q409,Q415,Q421,Q427,Q433,Q439,Q445,Q451,Q457,Q463,Q469,Q475,Q481,Q487,Q493,Q499,Q505,Q511,Q517,Q523,Q529,Q535,Q541,Q547,Q553,Q559)+SUM(Q565,Q571,Q577,Q583,Q589,Q595,Q601,Q607,Q613,Q619,Q625,Q631,Q637,Q643,Q649,Q655,Q661,Q667,Q673,Q679,Q685,Q691,Q697,Q703,Q709,Q715,Q721,Q727,Q733,Q739)+SUM(Q745,Q751,Q757,Q763,Q769,Q775,Q781,Q787,Q793,Q799,Q805,Q811,Q817,Q823)+SUM(Q829,Q835,Q841,Q847,Q853,Q859,Q865,Q871,Q877,Q883,Q889,Q895,Q901,Q907,Q913,Q919,Q925,Q931)</f>
        <v>8449858.5500000007</v>
      </c>
      <c r="R997" s="42">
        <f t="shared" si="564"/>
        <v>8389567</v>
      </c>
      <c r="S997" s="42">
        <f t="shared" si="564"/>
        <v>8539509.1500000004</v>
      </c>
      <c r="T997" s="42">
        <f t="shared" si="564"/>
        <v>8543234.6400000006</v>
      </c>
      <c r="U997" s="42">
        <f t="shared" si="564"/>
        <v>8564045.6300000008</v>
      </c>
      <c r="V997" s="42">
        <f t="shared" si="564"/>
        <v>8723873.129999999</v>
      </c>
      <c r="W997" s="42">
        <f t="shared" si="564"/>
        <v>8769793.0700000003</v>
      </c>
      <c r="X997" s="42">
        <f t="shared" si="564"/>
        <v>8744807.3300000001</v>
      </c>
      <c r="Y997" s="42">
        <f t="shared" si="564"/>
        <v>8740316.3900000006</v>
      </c>
      <c r="Z997" s="42">
        <f t="shared" si="564"/>
        <v>8727074.6799999997</v>
      </c>
      <c r="AA997" s="42">
        <f t="shared" si="564"/>
        <v>8780450.4900000002</v>
      </c>
      <c r="AB997" s="42">
        <f t="shared" si="564"/>
        <v>8909961.5599999987</v>
      </c>
      <c r="AC997" s="42">
        <f>SUM(Q997:AB997)</f>
        <v>103882491.62000002</v>
      </c>
      <c r="AD997" s="42">
        <f t="shared" si="565"/>
        <v>9075298.75</v>
      </c>
      <c r="AE997" s="42">
        <f t="shared" si="565"/>
        <v>9074882.754999999</v>
      </c>
      <c r="AF997" s="42">
        <f t="shared" si="565"/>
        <v>9095164.5899999999</v>
      </c>
      <c r="AG997" s="42">
        <f t="shared" si="565"/>
        <v>9106410.9100000001</v>
      </c>
      <c r="AH997" s="42">
        <f t="shared" si="565"/>
        <v>9375548.4100000001</v>
      </c>
      <c r="AI997" s="42">
        <f>SUM(AI7,AI13,AI19,AI25)+SUM(AI31,AI37,AI43,AI49,AI55,AI61,AI67,AI73,AI79)+SUM(AI85,AI91,AI97,AI103,AI109,AI115,AI121,AI127,AI133,AI139,AI145,AI151,AI157,AI163,AI169,AI175)+SUM(AI181,AI187,AI193,AI199,AI205,AI211,AI217,AI223,AI229,AI235,AI241,AI247,AI253,AI259,AI265,AI271)+SUM(AI277,AI283,AI289,AI295,AI301,AI307,AI313,AI319,AI325,AI331,AI337,AI343,AI349,AI355,AI361,AI367,AI373,AI379,AI385,AI391)+SUM(AI397,AI403,AI409,AI415,AI421,AI427,AI433,AI439,AI445,AI451,AI457,AI463,AI469,AI475,AI481,AI487,AI493,AI499,AI505,AI511,AI517,AI523,AI529,AI535,AI541,AI547,AI553,AI559)+SUM(AI565,AI571,AI577,AI583,AI589,AI595,AI601,AI607,AI613,AI619,AI625,AI631,AI637,AI643,AI649,AI655,AI661,AI667,AI673,AI679,AI685,AI691,AI697,AI703,AI709,AI715,AI721,AI727,AI733,AI739)+SUM(AI745,AI751,AI757,AI763,AI769,AI775,AI781,AI787,AI793,AI799,AI805,AI811,AI817,AI823)+SUM(AI829,AI835,AI841,AI847,AI853,AI859,AI865,AI871,AI877,AI883,AI889,AI895,AI901,AI907,AI913,AI919,AI925,AI931,AI937,AI943,AI949,AI961,AI967,AI973,AI979)</f>
        <v>9224861.7399999984</v>
      </c>
      <c r="AJ997" s="42">
        <f t="shared" si="566"/>
        <v>9321096.3800000008</v>
      </c>
      <c r="AK997" s="42">
        <f t="shared" si="566"/>
        <v>9310581.5099999998</v>
      </c>
      <c r="AL997" s="42">
        <f t="shared" si="566"/>
        <v>9349107.8099999987</v>
      </c>
      <c r="AM997" s="42">
        <f t="shared" si="566"/>
        <v>9339188.5299999993</v>
      </c>
      <c r="AN997" s="42">
        <f>SUM(AN7,AN13,AN19,AN25)+SUM(AN31,AN37,AN43,AN49,AN55,AN61,AN67,AN73,AN79)+SUM(AN85,AN91,AN97,AN103,AN109,AN115,AN121,AN127,AN133,AN139,AN145,AN151,AN157,AN163,AN169,AN175)+SUM(AN181,AN187,AN193,AN199,AN205,AN211,AN217,AN223,AN229,AN235,AN241,AN247,AN253,AN259,AN265,AN271)+SUM(AN277,AN283,AN289,AN295,AN301,AN307,AN313,AN319,AN325,AN331,AN337,AN343,AN349,AN355,AN361,AN367,AN373,AN379,AN385,AN391)+SUM(AN397,AN403,AN409,AN415,AN421,AN427,AN433,AN439,AN445,AN451,AN457,AN463,AN469,AN475,AN481,AN487,AN493,AN499,AN505,AN511,AN517,AN523,AN529,AN535,AN541,AN547,AN553,AN559)+SUM(AN565,AN571,AN577,AN583,AN589,AN595,AN601,AN607,AN613,AN619,AN625,AN631,AN637,AN643,AN649,AN655,AN661,AN667,AN673,AN679,AN685,AN691,AN697,AN703,AN709,AN715,AN721,AN727,AN733,AN739)+SUM(AN745,AN751,AN757,AN763,AN769,AN775,AN781,AN787,AN793,AN799,AN805,AN811,AN817,AN823)+SUM(AN829,AN835,AN841,AN847,AN853,AN859,AN865,AN871,AN877,AN883,AN889,AN895,AN901,AN907,AN913,AN919,AN925,AN931,AN937,AN943,AN949,AN961,AN967,AN973,AN979,AN985,AN991,AN955)</f>
        <v>9334694.7999999989</v>
      </c>
      <c r="AO997" s="64">
        <f>SUM(AO7,AO13,AO19,AO25)+SUM(AO31,AO37,AO43,AO49,AO55,AO61,AO67,AO73,AO79)+SUM(AO85,AO91,AO97,AO103,AO109,AO115,AO121,AO127,AO133,AO139,AO145,AO151,AO157,AO163,AO169,AO175)+SUM(AO181,AO187,AO193,AO199,AO205,AO211,AO217,AO223,AO229,AO235,AO241,AO247,AO253,AO259,AO265,AO271)+SUM(AO277,AO283,AO289,AO295,AO301,AO307,AO313,AO319,AO325,AO331,AO337,AO343,AO349,AO355,AO361,AO367,AO373,AO379,AO385,AO391)+SUM(AO397,AO403,AO409,AO415,AO421,AO427,AO433,AO439,AO445,AO451,AO457,AO463,AO469,AO475,AO481,AO487,AO493,AO499,AO505,AO511,AO517,AO523,AO529,AO535,AO541,AO547,AO553,AO559)+SUM(AO565,AO571,AO577,AO583,AO589,AO595,AO601,AO607,AO613,AO619,AO625,AO631,AO637,AO643,AO649,AO655,AO661,AO667,AO673,AO679,AO685,AO691,AO697,AO703,AO709,AO715,AO721,AO727,AO733,AO739)+SUM(AO745,AO751,AO757,AO763,AO769,AO775,AO781,AO787,AO793,AO799,AO805,AO811,AO817,AO823)+SUM(AO829,AO835,AO841,AO847,AO853,AO859,AO865,AO871,AO877,AO883,AO889,AO895,AO901,AO907,AO913,AO919,AO925,AO931,AO937,AO943,AO949,AO961,AO967,AO973,AO979,AO985,AO991)</f>
        <v>9380828.4000000004</v>
      </c>
      <c r="AP997" s="42">
        <f>SUM(AD997:AO997)</f>
        <v>110987664.58499999</v>
      </c>
    </row>
    <row r="998" spans="2:42" ht="15.5" x14ac:dyDescent="0.35">
      <c r="C998" s="43" t="s">
        <v>305</v>
      </c>
      <c r="D998" s="42">
        <f t="shared" si="563"/>
        <v>7858446.2910000002</v>
      </c>
      <c r="E998" s="42">
        <f t="shared" si="563"/>
        <v>7926221.8899999997</v>
      </c>
      <c r="F998" s="42">
        <f t="shared" si="563"/>
        <v>7934614.9699999988</v>
      </c>
      <c r="G998" s="42">
        <f t="shared" si="563"/>
        <v>7692411.8399999989</v>
      </c>
      <c r="H998" s="42">
        <f t="shared" si="563"/>
        <v>7975477.6099999994</v>
      </c>
      <c r="I998" s="42">
        <f t="shared" si="563"/>
        <v>7924910.79</v>
      </c>
      <c r="J998" s="42">
        <f t="shared" si="563"/>
        <v>8097729.5099999998</v>
      </c>
      <c r="K998" s="42">
        <f t="shared" si="563"/>
        <v>8140283.5899999999</v>
      </c>
      <c r="L998" s="42">
        <f t="shared" si="563"/>
        <v>8130945.7000000011</v>
      </c>
      <c r="M998" s="42">
        <f t="shared" si="563"/>
        <v>8123125.7800000003</v>
      </c>
      <c r="N998" s="42">
        <f t="shared" si="563"/>
        <v>8197359.3000000007</v>
      </c>
      <c r="O998" s="42">
        <f t="shared" si="563"/>
        <v>8484244.3499999996</v>
      </c>
      <c r="P998" s="42">
        <f>SUM(D998:O998)</f>
        <v>96485771.620999992</v>
      </c>
      <c r="Q998" s="42">
        <f>SUM(Q8,Q14,Q20,Q26)+SUM(Q32,Q38,Q44,Q50,Q56,Q62,Q68,Q74,Q80)+SUM(Q86,Q92,Q98,Q104,Q110,Q116,Q122,Q128,Q134,Q140,Q146,Q152,Q158,Q164,Q170,Q176)+SUM(Q182,Q188,Q194,Q200,Q206,Q212,Q218,Q224,Q230,Q236,Q242,Q248,Q254,Q260,Q266,Q272)+SUM(Q278,Q284,Q290,Q296,Q302,Q308,Q314,Q320,Q326,Q332,Q338,Q344,Q350,Q356,Q362,Q368,Q374,Q380,Q386,Q392)+SUM(Q398,Q404,Q410,Q416,Q422,Q428,Q434,Q440,Q446,Q452,Q458,Q464,Q470,Q476,Q482,Q488,Q494,Q500,Q506,Q512,Q518,Q524,Q530,Q536,Q542,Q548,Q554,Q560)+SUM(Q566,Q572,Q578,Q584,Q590,Q596,Q602,Q608,Q614,Q620,Q626,Q632,Q638,Q644,Q650,Q656,Q662,Q668,Q674,Q680,Q686,Q692,Q698,Q704,Q710,Q716,Q722,Q728,Q734,Q740)+SUM(Q746,Q752,Q758,Q764,Q770,Q776,Q782,Q788,Q794,Q800,Q806,Q812,Q818,Q824)+SUM(Q830,Q836,Q842,Q848,Q854,Q860,Q866,Q872,Q878,Q884,Q890,Q896,Q902,Q908,Q914,Q920,Q926,Q932)</f>
        <v>8526839.2300000004</v>
      </c>
      <c r="R998" s="42">
        <f t="shared" si="564"/>
        <v>8437775.1799999997</v>
      </c>
      <c r="S998" s="42">
        <f t="shared" si="564"/>
        <v>8589322.9000000004</v>
      </c>
      <c r="T998" s="42">
        <f t="shared" si="564"/>
        <v>8591977.5700000022</v>
      </c>
      <c r="U998" s="42">
        <f t="shared" si="564"/>
        <v>8612736.0599999987</v>
      </c>
      <c r="V998" s="42">
        <f t="shared" si="564"/>
        <v>8775769.3499999996</v>
      </c>
      <c r="W998" s="42">
        <f t="shared" si="564"/>
        <v>8819666.5299999993</v>
      </c>
      <c r="X998" s="42">
        <f t="shared" si="564"/>
        <v>8794347.7400000002</v>
      </c>
      <c r="Y998" s="42">
        <f t="shared" si="564"/>
        <v>8789706.3900000006</v>
      </c>
      <c r="Z998" s="42">
        <f t="shared" si="564"/>
        <v>8779892.5099999998</v>
      </c>
      <c r="AA998" s="42">
        <f t="shared" si="564"/>
        <v>8833116.25</v>
      </c>
      <c r="AB998" s="42">
        <f t="shared" si="564"/>
        <v>8962554.8000000007</v>
      </c>
      <c r="AC998" s="42">
        <f>SUM(Q998:AB998)</f>
        <v>104513704.51000001</v>
      </c>
      <c r="AD998" s="42">
        <f t="shared" si="565"/>
        <v>9156950.7300000004</v>
      </c>
      <c r="AE998" s="42">
        <f t="shared" si="565"/>
        <v>9127011.4050000012</v>
      </c>
      <c r="AF998" s="42">
        <f t="shared" si="565"/>
        <v>9148000.9299999997</v>
      </c>
      <c r="AG998" s="42">
        <f t="shared" si="565"/>
        <v>9159524.3300000001</v>
      </c>
      <c r="AH998" s="42">
        <f t="shared" si="565"/>
        <v>9428262.5</v>
      </c>
      <c r="AI998" s="42">
        <f>SUM(AI8,AI14,AI20,AI26)+SUM(AI32,AI38,AI44,AI50,AI56,AI62,AI68,AI74,AI80)+SUM(AI86,AI92,AI98,AI104,AI110,AI116,AI122,AI128,AI134,AI140,AI146,AI152,AI158,AI164,AI170,AI176)+SUM(AI182,AI188,AI194,AI200,AI206,AI212,AI218,AI224,AI230,AI236,AI242,AI248,AI254,AI260,AI266,AI272)+SUM(AI278,AI284,AI290,AI296,AI302,AI308,AI314,AI320,AI326,AI332,AI338,AI344,AI350,AI356,AI362,AI368,AI374,AI380,AI386,AI392)+SUM(AI398,AI404,AI410,AI416,AI422,AI428,AI434,AI440,AI446,AI452,AI458,AI464,AI470,AI476,AI482,AI488,AI494,AI500,AI506,AI512,AI518,AI524,AI530,AI536,AI542,AI548,AI554,AI560)+SUM(AI566,AI572,AI578,AI584,AI590,AI596,AI602,AI608,AI614,AI620,AI626,AI632,AI638,AI644,AI650,AI656,AI662,AI668,AI674,AI680,AI686,AI692,AI698,AI704,AI710,AI716,AI722,AI728,AI734,AI740)+SUM(AI746,AI752,AI758,AI764,AI770,AI776,AI782,AI788,AI794,AI800,AI806,AI812,AI818,AI824)+SUM(AI830,AI836,AI842,AI848,AI854,AI860,AI866,AI872,AI878,AI884,AI890,AI896,AI902,AI908,AI914,AI920,AI926,AI932,AI938,AI944,AI950,AI962,AI968,AI974,AI980)</f>
        <v>9277236.2400000002</v>
      </c>
      <c r="AJ998" s="42">
        <f t="shared" si="566"/>
        <v>9373574.6099999994</v>
      </c>
      <c r="AK998" s="42">
        <f t="shared" si="566"/>
        <v>9362692.2399999984</v>
      </c>
      <c r="AL998" s="42">
        <f t="shared" si="566"/>
        <v>9399770.6899999995</v>
      </c>
      <c r="AM998" s="42">
        <f t="shared" si="566"/>
        <v>9390807.25</v>
      </c>
      <c r="AN998" s="42">
        <f>SUM(AN8,AN14,AN20,AN26)+SUM(AN32,AN38,AN44,AN50,AN56,AN62,AN68,AN74,AN80)+SUM(AN86,AN92,AN98,AN104,AN110,AN116,AN122,AN128,AN134,AN140,AN146,AN152,AN158,AN164,AN170,AN176)+SUM(AN182,AN188,AN194,AN200,AN206,AN212,AN218,AN224,AN230,AN236,AN242,AN248,AN254,AN260,AN266,AN272)+SUM(AN278,AN284,AN290,AN296,AN302,AN308,AN314,AN320,AN326,AN332,AN338,AN344,AN350,AN356,AN362,AN368,AN374,AN380,AN386,AN392)+SUM(AN398,AN404,AN410,AN416,AN422,AN428,AN434,AN440,AN446,AN452,AN458,AN464,AN470,AN476,AN482,AN488,AN494,AN500,AN506,AN512,AN518,AN524,AN530,AN536,AN542,AN548,AN554,AN560)+SUM(AN566,AN572,AN578,AN584,AN590,AN596,AN602,AN608,AN614,AN620,AN626,AN632,AN638,AN644,AN650,AN656,AN662,AN668,AN674,AN680,AN686,AN692,AN698,AN704,AN710,AN716,AN722,AN728,AN734,AN740)+SUM(AN746,AN752,AN758,AN764,AN770,AN776,AN782,AN788,AN794,AN800,AN806,AN812,AN818,AN824)+SUM(AN830,AN836,AN842,AN848,AN854,AN860,AN866,AN872,AN878,AN884,AN890,AN896,AN902,AN908,AN914,AN920,AN926,AN932,AN938,AN944,AN950,AN962,AN968,AN974,AN980,AN986,AN992,AN956)</f>
        <v>9386272.2699999996</v>
      </c>
      <c r="AO998" s="64">
        <f>SUM(AO8,AO14,AO20,AO26)+SUM(AO32,AO38,AO44,AO50,AO56,AO62,AO68,AO74,AO80)+SUM(AO86,AO92,AO98,AO104,AO110,AO116,AO122,AO128,AO134,AO140,AO146,AO152,AO158,AO164,AO170,AO176)+SUM(AO182,AO188,AO194,AO200,AO206,AO212,AO218,AO224,AO230,AO236,AO242,AO248,AO254,AO260,AO266,AO272)+SUM(AO278,AO284,AO290,AO296,AO302,AO308,AO314,AO320,AO326,AO332,AO338,AO344,AO350,AO356,AO362,AO368,AO374,AO380,AO386,AO392)+SUM(AO398,AO404,AO410,AO416,AO422,AO428,AO434,AO440,AO446,AO452,AO458,AO464,AO470,AO476,AO482,AO488,AO494,AO500,AO506,AO512,AO518,AO524,AO530,AO536,AO542,AO548,AO554,AO560)+SUM(AO566,AO572,AO578,AO584,AO590,AO596,AO602,AO608,AO614,AO620,AO626,AO632,AO638,AO644,AO650,AO656,AO662,AO668,AO674,AO680,AO686,AO692,AO698,AO704,AO710,AO716,AO722,AO728,AO734,AO740)+SUM(AO746,AO752,AO758,AO764,AO770,AO776,AO782,AO788,AO794,AO800,AO806,AO812,AO818,AO824)+SUM(AO830,AO836,AO842,AO848,AO854,AO860,AO866,AO872,AO878,AO884,AO890,AO896,AO902,AO908,AO914,AO920,AO926,AO932,AO938,AO944,AO950,AO962,AO968,AO974,AO980,AO986,AO992)</f>
        <v>9432204.2100000009</v>
      </c>
      <c r="AP998" s="42">
        <f>SUM(AD998:AO998)</f>
        <v>111642307.405</v>
      </c>
    </row>
    <row r="999" spans="2:42" x14ac:dyDescent="0.3">
      <c r="C999" s="6"/>
    </row>
    <row r="1000" spans="2:42" ht="15" customHeight="1" x14ac:dyDescent="0.3">
      <c r="B1000" s="44" t="s">
        <v>306</v>
      </c>
      <c r="C1000" s="45" t="s">
        <v>307</v>
      </c>
    </row>
    <row r="1001" spans="2:42" ht="15" customHeight="1" x14ac:dyDescent="0.3">
      <c r="B1001" s="7" t="s">
        <v>5</v>
      </c>
      <c r="C1001" s="46" t="s">
        <v>308</v>
      </c>
    </row>
    <row r="1002" spans="2:42" ht="15" customHeight="1" x14ac:dyDescent="0.3">
      <c r="B1002" s="47" t="s">
        <v>309</v>
      </c>
      <c r="C1002" s="48" t="s">
        <v>310</v>
      </c>
    </row>
    <row r="1003" spans="2:42" x14ac:dyDescent="0.3">
      <c r="C1003" s="6"/>
    </row>
    <row r="1004" spans="2:42" ht="188" x14ac:dyDescent="0.3">
      <c r="C1004" s="6"/>
      <c r="G1004" s="49" t="s">
        <v>311</v>
      </c>
      <c r="N1004" s="50" t="s">
        <v>312</v>
      </c>
      <c r="V1004" s="51" t="s">
        <v>313</v>
      </c>
      <c r="AG1004" s="51" t="s">
        <v>314</v>
      </c>
      <c r="AH1004" s="51" t="s">
        <v>315</v>
      </c>
      <c r="AI1004" s="52" t="s">
        <v>316</v>
      </c>
    </row>
    <row r="1005" spans="2:42" ht="12.75" customHeight="1" x14ac:dyDescent="0.3">
      <c r="C1005" s="6"/>
    </row>
    <row r="1006" spans="2:42" x14ac:dyDescent="0.3">
      <c r="C1006" s="6"/>
    </row>
    <row r="1007" spans="2:42" x14ac:dyDescent="0.3">
      <c r="C1007" s="6"/>
    </row>
    <row r="1008" spans="2:42" x14ac:dyDescent="0.3">
      <c r="C1008" s="6"/>
    </row>
    <row r="1009" spans="3:3" x14ac:dyDescent="0.3">
      <c r="C1009" s="6"/>
    </row>
    <row r="1010" spans="3:3" x14ac:dyDescent="0.3">
      <c r="C1010" s="6"/>
    </row>
    <row r="1011" spans="3:3" x14ac:dyDescent="0.3">
      <c r="C1011" s="6"/>
    </row>
    <row r="1012" spans="3:3" x14ac:dyDescent="0.3">
      <c r="C1012" s="6"/>
    </row>
    <row r="1013" spans="3:3" x14ac:dyDescent="0.3">
      <c r="C1013" s="6"/>
    </row>
    <row r="1014" spans="3:3" x14ac:dyDescent="0.3">
      <c r="C1014" s="6"/>
    </row>
    <row r="1015" spans="3:3" x14ac:dyDescent="0.3">
      <c r="C1015" s="6"/>
    </row>
    <row r="1016" spans="3:3" x14ac:dyDescent="0.3">
      <c r="C1016" s="6"/>
    </row>
    <row r="1017" spans="3:3" x14ac:dyDescent="0.3">
      <c r="C1017" s="6"/>
    </row>
    <row r="1018" spans="3:3" x14ac:dyDescent="0.3">
      <c r="C1018" s="6"/>
    </row>
    <row r="1019" spans="3:3" x14ac:dyDescent="0.3">
      <c r="C1019" s="6"/>
    </row>
    <row r="1020" spans="3:3" ht="12.4" customHeight="1" x14ac:dyDescent="0.3">
      <c r="C1020" s="6"/>
    </row>
    <row r="1021" spans="3:3" x14ac:dyDescent="0.3">
      <c r="C1021" s="6"/>
    </row>
    <row r="1022" spans="3:3" x14ac:dyDescent="0.3">
      <c r="C1022" s="6"/>
    </row>
    <row r="1023" spans="3:3" x14ac:dyDescent="0.3">
      <c r="C1023" s="6"/>
    </row>
    <row r="1024" spans="3:3" x14ac:dyDescent="0.3">
      <c r="C1024" s="6"/>
    </row>
    <row r="1025" spans="3:3" x14ac:dyDescent="0.3">
      <c r="C1025" s="6"/>
    </row>
    <row r="1026" spans="3:3" x14ac:dyDescent="0.3">
      <c r="C1026" s="6"/>
    </row>
    <row r="1027" spans="3:3" x14ac:dyDescent="0.3">
      <c r="C1027" s="6"/>
    </row>
    <row r="1028" spans="3:3" x14ac:dyDescent="0.3">
      <c r="C1028" s="6"/>
    </row>
    <row r="1029" spans="3:3" x14ac:dyDescent="0.3">
      <c r="C1029" s="6"/>
    </row>
    <row r="1030" spans="3:3" x14ac:dyDescent="0.3">
      <c r="C1030" s="6"/>
    </row>
    <row r="1031" spans="3:3" x14ac:dyDescent="0.3">
      <c r="C1031" s="6"/>
    </row>
    <row r="1032" spans="3:3" x14ac:dyDescent="0.3">
      <c r="C1032" s="6"/>
    </row>
    <row r="1033" spans="3:3" x14ac:dyDescent="0.3">
      <c r="C1033" s="6"/>
    </row>
    <row r="1034" spans="3:3" x14ac:dyDescent="0.3">
      <c r="C1034" s="6"/>
    </row>
    <row r="1035" spans="3:3" x14ac:dyDescent="0.3">
      <c r="C1035" s="6"/>
    </row>
    <row r="1036" spans="3:3" x14ac:dyDescent="0.3">
      <c r="C1036" s="6"/>
    </row>
    <row r="1037" spans="3:3" x14ac:dyDescent="0.3">
      <c r="C1037" s="6"/>
    </row>
    <row r="1038" spans="3:3" x14ac:dyDescent="0.3">
      <c r="C1038" s="6"/>
    </row>
    <row r="1039" spans="3:3" x14ac:dyDescent="0.3">
      <c r="C1039" s="6"/>
    </row>
    <row r="1040" spans="3:3" x14ac:dyDescent="0.3">
      <c r="C1040" s="6"/>
    </row>
    <row r="1041" spans="3:3" x14ac:dyDescent="0.3">
      <c r="C1041" s="6"/>
    </row>
    <row r="1042" spans="3:3" x14ac:dyDescent="0.3">
      <c r="C1042" s="6"/>
    </row>
    <row r="1043" spans="3:3" x14ac:dyDescent="0.3">
      <c r="C1043" s="6"/>
    </row>
    <row r="1044" spans="3:3" x14ac:dyDescent="0.3">
      <c r="C1044" s="6"/>
    </row>
    <row r="1045" spans="3:3" x14ac:dyDescent="0.3">
      <c r="C1045" s="6"/>
    </row>
    <row r="1046" spans="3:3" x14ac:dyDescent="0.3">
      <c r="C1046" s="6"/>
    </row>
    <row r="1047" spans="3:3" x14ac:dyDescent="0.3">
      <c r="C1047" s="6"/>
    </row>
    <row r="1048" spans="3:3" x14ac:dyDescent="0.3">
      <c r="C1048" s="6"/>
    </row>
    <row r="1049" spans="3:3" x14ac:dyDescent="0.3">
      <c r="C1049" s="6"/>
    </row>
    <row r="1050" spans="3:3" x14ac:dyDescent="0.3">
      <c r="C1050" s="6"/>
    </row>
  </sheetData>
  <printOptions horizontalCentered="1"/>
  <pageMargins left="0" right="0" top="0.25" bottom="0.25" header="0.5" footer="0.5"/>
  <pageSetup scale="80" orientation="portrait" r:id="rId1"/>
  <headerFooter alignWithMargins="0"/>
  <rowBreaks count="7" manualBreakCount="7">
    <brk id="207" min="39" max="39" man="1"/>
    <brk id="333" min="39" max="39" man="1"/>
    <brk id="459" min="39" max="39" man="1"/>
    <brk id="585" min="39" max="39" man="1"/>
    <brk id="711" min="39" max="39" man="1"/>
    <brk id="837" min="39" max="39" man="1"/>
    <brk id="969" min="3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payment summary2</vt:lpstr>
      <vt:lpstr>'payment summary2'!Print_Area</vt:lpstr>
      <vt:lpstr>'payment summary2'!Print_Titles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Flotte, Debra</dc:creator>
  <cp:lastModifiedBy>Kahle, Tim</cp:lastModifiedBy>
  <dcterms:created xsi:type="dcterms:W3CDTF">2024-05-08T22:42:51Z</dcterms:created>
  <dcterms:modified xsi:type="dcterms:W3CDTF">2024-06-07T15:30:15Z</dcterms:modified>
</cp:coreProperties>
</file>